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mc:AlternateContent xmlns:mc="http://schemas.openxmlformats.org/markup-compatibility/2006">
    <mc:Choice Requires="x15">
      <x15ac:absPath xmlns:x15ac="http://schemas.microsoft.com/office/spreadsheetml/2010/11/ac" url="D:\Web sites\Općina Baška 2015\"/>
    </mc:Choice>
  </mc:AlternateContent>
  <bookViews>
    <workbookView xWindow="0" yWindow="0" windowWidth="38400" windowHeight="17610" tabRatio="530" activeTab="1"/>
  </bookViews>
  <sheets>
    <sheet name="NASLOVNICA I REKAPITULACIJA" sheetId="1" r:id="rId1"/>
    <sheet name="TROSKOVNIK" sheetId="2" r:id="rId2"/>
  </sheets>
  <definedNames>
    <definedName name="_xlnm._FilterDatabase" localSheetId="1" hidden="1">TROSKOVNIK!$1:$2</definedName>
    <definedName name="_1Excel_BuiltIn_Print_Area_2_1">TROSKOVNIK!$A$1:$F$288</definedName>
    <definedName name="Excel_BuiltIn_Print_Area_2_1">TROSKOVNIK!$A$1:$F$268</definedName>
    <definedName name="Excel_BuiltIn_Print_Area_2_1_1">TROSKOVNIK!$A$1:$F$273</definedName>
    <definedName name="Excel_BuiltIn_Print_Area_2_1_1_1">TROSKOVNIK!$A$1:$F$308</definedName>
    <definedName name="_xlnm.Print_Area" localSheetId="1">TROSKOVNIK!$A$1:$F$417</definedName>
  </definedNames>
  <calcPr calcId="171027" fullCalcOnLoad="1"/>
</workbook>
</file>

<file path=xl/calcChain.xml><?xml version="1.0" encoding="utf-8"?>
<calcChain xmlns="http://schemas.openxmlformats.org/spreadsheetml/2006/main">
  <c r="D7" i="2" l="1"/>
  <c r="F7" i="2"/>
  <c r="D9" i="2"/>
  <c r="F9" i="2"/>
  <c r="D12" i="2"/>
  <c r="F12" i="2" s="1"/>
  <c r="D13" i="2"/>
  <c r="F13" i="2"/>
  <c r="D15" i="2"/>
  <c r="F15" i="2"/>
  <c r="D17" i="2"/>
  <c r="F17" i="2" s="1"/>
  <c r="D19" i="2"/>
  <c r="F19" i="2" s="1"/>
  <c r="D21" i="2"/>
  <c r="F21" i="2"/>
  <c r="D23" i="2"/>
  <c r="F23" i="2"/>
  <c r="D25" i="2"/>
  <c r="F25" i="2" s="1"/>
  <c r="D27" i="2"/>
  <c r="F27" i="2" s="1"/>
  <c r="D36" i="2"/>
  <c r="D29" i="2" s="1"/>
  <c r="F29" i="2" s="1"/>
  <c r="D38" i="2"/>
  <c r="F38" i="2" s="1"/>
  <c r="F36" i="2"/>
  <c r="D41" i="2"/>
  <c r="F41" i="2"/>
  <c r="D42" i="2"/>
  <c r="F42" i="2"/>
  <c r="D43" i="2"/>
  <c r="F43" i="2" s="1"/>
  <c r="D45" i="2"/>
  <c r="F45" i="2" s="1"/>
  <c r="F47" i="2"/>
  <c r="D48" i="2"/>
  <c r="F48" i="2" s="1"/>
  <c r="D49" i="2"/>
  <c r="F49" i="2"/>
  <c r="F51" i="2"/>
  <c r="D52" i="2"/>
  <c r="F52" i="2" s="1"/>
  <c r="D53" i="2"/>
  <c r="F53" i="2"/>
  <c r="D57" i="2"/>
  <c r="F57" i="2" s="1"/>
  <c r="D58" i="2"/>
  <c r="F58" i="2" s="1"/>
  <c r="D142" i="2"/>
  <c r="D60" i="2"/>
  <c r="F60" i="2"/>
  <c r="D67" i="2"/>
  <c r="F67" i="2"/>
  <c r="D69" i="2"/>
  <c r="F69" i="2" s="1"/>
  <c r="F85" i="2" s="1"/>
  <c r="F78" i="1" s="1"/>
  <c r="D74" i="2"/>
  <c r="F74" i="2"/>
  <c r="D75" i="2"/>
  <c r="F75" i="2"/>
  <c r="D77" i="2"/>
  <c r="F77" i="2"/>
  <c r="F80" i="2"/>
  <c r="F81" i="2"/>
  <c r="D83" i="2"/>
  <c r="F83" i="2"/>
  <c r="D90" i="2"/>
  <c r="F90" i="2"/>
  <c r="D92" i="2"/>
  <c r="F92" i="2" s="1"/>
  <c r="D100" i="2"/>
  <c r="F100" i="2"/>
  <c r="D101" i="2"/>
  <c r="F101" i="2"/>
  <c r="D104" i="2"/>
  <c r="F104" i="2" s="1"/>
  <c r="D106" i="2"/>
  <c r="F106" i="2"/>
  <c r="D108" i="2"/>
  <c r="D133" i="2" s="1"/>
  <c r="F133" i="2" s="1"/>
  <c r="F108" i="2"/>
  <c r="F116" i="2"/>
  <c r="F117" i="2"/>
  <c r="F119" i="2"/>
  <c r="F121" i="2"/>
  <c r="D123" i="2"/>
  <c r="F123" i="2"/>
  <c r="D125" i="2"/>
  <c r="F125" i="2"/>
  <c r="D127" i="2"/>
  <c r="F127" i="2" s="1"/>
  <c r="D129" i="2"/>
  <c r="F129" i="2"/>
  <c r="D131" i="2"/>
  <c r="F131" i="2"/>
  <c r="F86" i="1"/>
  <c r="F156" i="2"/>
  <c r="F164" i="2" s="1"/>
  <c r="F91" i="1" s="1"/>
  <c r="D157" i="2"/>
  <c r="F157" i="2"/>
  <c r="F165" i="2" s="1"/>
  <c r="F158" i="2"/>
  <c r="D159" i="2"/>
  <c r="F159" i="2"/>
  <c r="F160" i="2"/>
  <c r="F170" i="2"/>
  <c r="F183" i="2" s="1"/>
  <c r="F93" i="1" s="1"/>
  <c r="F171" i="2"/>
  <c r="F184" i="2" s="1"/>
  <c r="F174" i="2"/>
  <c r="F175" i="2"/>
  <c r="F178" i="2"/>
  <c r="F179" i="2"/>
  <c r="F189" i="2"/>
  <c r="D190" i="2"/>
  <c r="D192" i="2" s="1"/>
  <c r="F192" i="2" s="1"/>
  <c r="D191" i="2"/>
  <c r="F191" i="2"/>
  <c r="F199" i="2"/>
  <c r="F218" i="2" s="1"/>
  <c r="F97" i="1" s="1"/>
  <c r="F200" i="2"/>
  <c r="F201" i="2"/>
  <c r="F202" i="2"/>
  <c r="F223" i="2"/>
  <c r="F227" i="2" s="1"/>
  <c r="F99" i="1" s="1"/>
  <c r="D224" i="2"/>
  <c r="F224" i="2"/>
  <c r="F226" i="2"/>
  <c r="F232" i="2"/>
  <c r="D233" i="2"/>
  <c r="F233" i="2"/>
  <c r="F236" i="2"/>
  <c r="F101" i="1"/>
  <c r="F241" i="2"/>
  <c r="F242" i="2"/>
  <c r="F243" i="2"/>
  <c r="F264" i="2" s="1"/>
  <c r="F244" i="2"/>
  <c r="F245" i="2"/>
  <c r="D246" i="2"/>
  <c r="F246" i="2"/>
  <c r="F263" i="2" s="1"/>
  <c r="F103" i="1" s="1"/>
  <c r="F249" i="2"/>
  <c r="D250" i="2"/>
  <c r="F250" i="2"/>
  <c r="F251" i="2"/>
  <c r="F252" i="2"/>
  <c r="F253" i="2"/>
  <c r="F254" i="2"/>
  <c r="F255" i="2"/>
  <c r="F256" i="2"/>
  <c r="F258" i="2"/>
  <c r="F259" i="2"/>
  <c r="F260" i="2"/>
  <c r="F261" i="2"/>
  <c r="F262" i="2"/>
  <c r="D71" i="2"/>
  <c r="D140" i="2"/>
  <c r="F140" i="2"/>
  <c r="F142" i="2"/>
  <c r="D144" i="2"/>
  <c r="F144" i="2"/>
  <c r="D161" i="2"/>
  <c r="F161" i="2"/>
  <c r="F162" i="2"/>
  <c r="D163" i="2"/>
  <c r="F163" i="2" s="1"/>
  <c r="D203" i="2"/>
  <c r="F203" i="2"/>
  <c r="F204" i="2"/>
  <c r="D205" i="2"/>
  <c r="F205" i="2" s="1"/>
  <c r="D235" i="2"/>
  <c r="F235" i="2" s="1"/>
  <c r="D248" i="2"/>
  <c r="F266" i="2"/>
  <c r="F228" i="2" l="1"/>
  <c r="F94" i="2"/>
  <c r="F80" i="1" s="1"/>
  <c r="F31" i="2"/>
  <c r="F135" i="2"/>
  <c r="F84" i="1" s="1"/>
  <c r="F193" i="2"/>
  <c r="F95" i="1" s="1"/>
  <c r="F237" i="2"/>
  <c r="F146" i="2"/>
  <c r="F110" i="2"/>
  <c r="F82" i="1" s="1"/>
  <c r="D59" i="2"/>
  <c r="F59" i="2" s="1"/>
  <c r="F190" i="2"/>
  <c r="F219" i="2"/>
  <c r="D56" i="2"/>
  <c r="F56" i="2" s="1"/>
  <c r="F62" i="2" s="1"/>
  <c r="F76" i="1" s="1"/>
  <c r="F194" i="2" l="1"/>
  <c r="F149" i="2"/>
  <c r="F74" i="1"/>
  <c r="F106" i="1" s="1"/>
</calcChain>
</file>

<file path=xl/comments1.xml><?xml version="1.0" encoding="utf-8"?>
<comments xmlns="http://schemas.openxmlformats.org/spreadsheetml/2006/main">
  <authors>
    <author/>
  </authors>
  <commentList>
    <comment ref="B2" authorId="0" shapeId="0">
      <text>
        <r>
          <rPr>
            <b/>
            <sz val="8"/>
            <color indexed="8"/>
            <rFont val="Times New Roman"/>
            <family val="1"/>
            <charset val="238"/>
          </rPr>
          <t xml:space="preserve">Darjan:
</t>
        </r>
      </text>
    </comment>
  </commentList>
</comments>
</file>

<file path=xl/sharedStrings.xml><?xml version="1.0" encoding="utf-8"?>
<sst xmlns="http://schemas.openxmlformats.org/spreadsheetml/2006/main" count="345" uniqueCount="217">
  <si>
    <t>GRAĐEVINA:</t>
  </si>
  <si>
    <t>MRTVAČNICA NA GROBLJU BATOMALJ</t>
  </si>
  <si>
    <t>k.č. 2370</t>
  </si>
  <si>
    <t>k.o. BATOMALJ</t>
  </si>
  <si>
    <t>INVESTITOR:</t>
  </si>
  <si>
    <t>OPĆINA BAŠKA</t>
  </si>
  <si>
    <t xml:space="preserve">OIB:24078212554 </t>
  </si>
  <si>
    <t>Palada 88</t>
  </si>
  <si>
    <t>51523 Baška</t>
  </si>
  <si>
    <t>PROJEKT:</t>
  </si>
  <si>
    <t>IZVEDBENI PROJEKT</t>
  </si>
  <si>
    <t>SADRŽAJ:</t>
  </si>
  <si>
    <t>TROŠKOVNIK GRAĐEVINSKO OBRTNIČKIH RADOVA</t>
  </si>
  <si>
    <t>BROJ PROJEKTA:</t>
  </si>
  <si>
    <t>08 – 681/16</t>
  </si>
  <si>
    <t>GLAVNI PROJEKTANT:</t>
  </si>
  <si>
    <t>mr.sc. Marko Franković, dipl.ing.arh.</t>
  </si>
  <si>
    <t>PROJEKTANT:</t>
  </si>
  <si>
    <t>SURADNICI:</t>
  </si>
  <si>
    <t>Rene Car, mag.ing.arh.</t>
  </si>
  <si>
    <t>Rijeka, rujan 2016.</t>
  </si>
  <si>
    <t>M.P.</t>
  </si>
  <si>
    <t>PONUĐAČ RADOVA :</t>
  </si>
  <si>
    <t>REKAPITULACIJA RADOVA</t>
  </si>
  <si>
    <t>A GRAĐEVINSKI RADOVI</t>
  </si>
  <si>
    <t>I</t>
  </si>
  <si>
    <t>ZEMLJANI RADOVI</t>
  </si>
  <si>
    <t>II</t>
  </si>
  <si>
    <t>ARMIRANO-BETONSKI RADOVI</t>
  </si>
  <si>
    <t>III</t>
  </si>
  <si>
    <t>ZIDARSKI RADOVI, PODLOGE</t>
  </si>
  <si>
    <t>IV</t>
  </si>
  <si>
    <t>FASADERSKI RADOVI</t>
  </si>
  <si>
    <t>V</t>
  </si>
  <si>
    <t>IZOLATERSKI RADOVI</t>
  </si>
  <si>
    <t>VI</t>
  </si>
  <si>
    <t>TESARSKI RADOVI</t>
  </si>
  <si>
    <t>VII</t>
  </si>
  <si>
    <t>KRIŽNI SVOD – RADOVI</t>
  </si>
  <si>
    <t>B OBRTNIČKI RADOVI</t>
  </si>
  <si>
    <t>LIMARSKI RADOVI</t>
  </si>
  <si>
    <t>STOLARSKI RADOVI</t>
  </si>
  <si>
    <t>KERAMIČARSKI RADOVI</t>
  </si>
  <si>
    <t>KAMENOREZAČKI RADOVI</t>
  </si>
  <si>
    <t>SOBOSLIKARSKI RADOVI</t>
  </si>
  <si>
    <t>KARTON-GIPS MONTAŽERSKI RADOVI</t>
  </si>
  <si>
    <t>INSTALATERSKI RADOVI</t>
  </si>
  <si>
    <t>UKUPNO:</t>
  </si>
  <si>
    <t>NAPOMENA:</t>
  </si>
  <si>
    <t>Sve cijene su bez PDV-a u svim priloženim troškovnicima po strukama.</t>
  </si>
  <si>
    <t>Rijeka, rujan 2016. god.</t>
  </si>
  <si>
    <t>A</t>
  </si>
  <si>
    <t xml:space="preserve">  GRAĐEVINSKI RADOVI</t>
  </si>
  <si>
    <t>Zemljani radovi</t>
  </si>
  <si>
    <t>Red. 
broj</t>
  </si>
  <si>
    <t>Opis rada - Aktivnost</t>
  </si>
  <si>
    <t>Jed. 
mjera</t>
  </si>
  <si>
    <t>Količina</t>
  </si>
  <si>
    <t>Jed. cijena (u kn)</t>
  </si>
  <si>
    <t>Ukupno</t>
  </si>
  <si>
    <t>Raščišćavanje cijele čestice za smještaj objekta u terenu III, IV i V kategorije sa skidanjem humusa d = 20 cm, sa odbacivanjem iskopnog materijala u stranu.
Materijal iskoristiti za nasipavanje terena dok stabla i raslinje zapaliti ili odvesti na gradski deponij.</t>
  </si>
  <si>
    <r>
      <t>m</t>
    </r>
    <r>
      <rPr>
        <vertAlign val="superscript"/>
        <sz val="10"/>
        <rFont val="Arial"/>
        <family val="2"/>
        <charset val="238"/>
      </rPr>
      <t>2</t>
    </r>
  </si>
  <si>
    <t>Strojni iskop tla u širokom iskopu na poziciji buduće građevine sa odlaganjem materijala na gomile do udaljenosti 10 - 15 m od iskopa. Dubina iskopa 60 cm. Iskop se vrši u terenu III, IV i V ktg.  do vrha trakastih temelja. Eventualno dodatno dublje kopanje, radi nezadovoljavajuće kvalitete tla, naknadno će se definirati u dogovoru s projektantom konstrukterom i nadzornim inženjerom. Iskopani materijal se sprema na gradilištu i vrača kao ispuna. Stavka obuhvaća sav potreban materijal rad i transport. Obračun po m3 iskopanog materijala.</t>
  </si>
  <si>
    <r>
      <t>m</t>
    </r>
    <r>
      <rPr>
        <vertAlign val="superscript"/>
        <sz val="10"/>
        <rFont val="Arial"/>
        <family val="2"/>
        <charset val="238"/>
      </rPr>
      <t>3</t>
    </r>
  </si>
  <si>
    <t>Strojni iskop tla u širokom iskopu na poziciji sabirne jame i upojnih bunara sa odlaganjem materijala na gomile do udaljenosti 10 - 15 m od iskopa. Iskop se vrši u terenu III, IV i V ktg, za sabirnu jamu u dubini 2,75m, dok se za upojni. Iskopani materijal se sprema na gradilištu i vrača kao ispuna. Stavka obuhvaća sav potreban materijal rad i transport. Obračun po m3 iskopanog materijala.</t>
  </si>
  <si>
    <t>Sabirna jama</t>
  </si>
  <si>
    <t>Upojni bunar</t>
  </si>
  <si>
    <t>Strojni iskop kanala za trakaste temelje zidova sa odlaganjem iskopanog materijala na 5 – 10 m. Iskop se vrši na formiranom platou, u terenu IV i V ktg, presjeka kanala 60/60 cm.  Iskopani materijal se sprema na gradilištu i vrača kao ispuna. Stavka obuhvaća sav potreban materijal rad i transport. Obračun po m3 iskopanog materijala.</t>
  </si>
  <si>
    <t>Strojni iskop za temelje samce sa odlaganjem iskopanog materijala na 5 – 10 m. Iskop se vrši na formiranom platou, u terenu IV i V ktg, presjeka kanala 60/60 cm.  Iskopani materijal se sprema na gradilištu i vrača kao ispuna. Stavka obuhvaća sav potreban materijal rad i transport. Obračun po m3 iskopanog materijala.</t>
  </si>
  <si>
    <t>Strojni iskop kanala za postavljanje cijevi instalacija vode i kanalizacije u okolišu. Kanal je širine cca 60 cm i dubine 100 cm. Iskopani materijal se sprema na gradilištu i vrača kao ispuna. Stavka obuhvaća sav potreban materijal rad i transport. Obračun po m3 iskopanog materijala.</t>
  </si>
  <si>
    <t>Dobava materijala i izrada kamene posteljice između temelja ispod betonskih ploča prizemlja koja "leži" na terenu, debljine 45 cm, sa potrebnim valjanjem i nabijanjem do potrebne stišljivosti.</t>
  </si>
  <si>
    <t>Dobava materijala i nasipavanje oko temelja do gornjeg nivoa temelja, sa potrebnim valjanjem i nabijanjem do potrebne stišljivosti.</t>
  </si>
  <si>
    <t>Dobava materijala i izrada posteljice za postavljanje instalacija u okolišu. U cijenu uračunat sav potreban materijal, rad i transport. Obračun je po m3 ugrađenog materijala.</t>
  </si>
  <si>
    <t>Zatrpavanje kanala u koje se postavljaju instalacije materijalom iz iskopa uz nabijanje do potrebne stišljivosti. Obračun je po m3 ugrađenog materijala.</t>
  </si>
  <si>
    <t>Odvoz viška materijala koji je ostao od iskopa na udaljenost manju od 20 km. Obračun po m³ odvezenog materijala.</t>
  </si>
  <si>
    <r>
      <t xml:space="preserve">Zemljani radovi                                                                                    </t>
    </r>
    <r>
      <rPr>
        <b/>
        <sz val="10"/>
        <rFont val="Arial"/>
        <family val="2"/>
        <charset val="238"/>
      </rPr>
      <t xml:space="preserve"> kn</t>
    </r>
  </si>
  <si>
    <t>Armirano-betonski radovi</t>
  </si>
  <si>
    <t>Dobava materijala i betoniranje trakastih temelja zidova betonom M-30 presjeka 60/60 cm. Prethodno se u kanale trakastih temelja i temeljnih stopa, ugrađuje projektom predviđeno betonsko željezo, u svemu prema statičkom proračunu i planu savijanja i polaganja armature. Ugradba betona autopumpom. Obračun po 1m³ ugrađenog betona.</t>
  </si>
  <si>
    <t>Dobava materijala i betoniranje armirano betonske monolitne ravne ploča prizemlja koja "leži" na terenu, betonom M-30. Ploča se izvodi debljine 15 cm. Ploču armirati prema statičkom računu i planu postavljanja armature. Obračun po 1 m³ ugrađenog betona.</t>
  </si>
  <si>
    <t>Dobava materijala i betoniranje horizontalnih i vertikalnih serklaža, i greda betonom razreda čvrstoće 25/30 u potrebnoj glatkoj oplati s podupiranjem. Sve armirati prema statičkom računu i planu postavljanja armature.
Betoniranje se vrši autopumpom. Obračun po 1 m³ ugrađenog betona.</t>
  </si>
  <si>
    <t>a) vertikalni serklaž</t>
  </si>
  <si>
    <t>b) horizontalni serklaž</t>
  </si>
  <si>
    <t>c) stupovi</t>
  </si>
  <si>
    <t>Dobava materijala i betoniranje greda betonom razreda čvrstoće M-30 u potrebnoj glatkoj oplati s podupiranjem. Sve armirati prema statičkom računu i planu postavljanja armature.
Betoniranje se vrši autopumpom. Obračun po 1 m³ ugrađenog betona.</t>
  </si>
  <si>
    <t>Dobava materijala i betoniranje zidova i ploča sabirne jame, betonom razreda čvrstoće M-30 u potrebnoj glatkoj oplati s podupiranjem. Zidove i ploču armirati željezom.
Betoniranje se vrši autopumpom. Obračun po 1 m³ ugrađenog betona.</t>
  </si>
  <si>
    <t>a) ploče</t>
  </si>
  <si>
    <t>b) Zidovi</t>
  </si>
  <si>
    <t>Dobava materijala i betoniranje zidova i ploče upojnog bunara, betonom razreda čvrstoće M30 u potrebnoj glatkoj oplati s podupiranjem. Zidove i ploču armirati željezom.
Betoniranje se vrši autopumpom. Obračun po 1 m³ ugrađenog betona.</t>
  </si>
  <si>
    <t>Dobava materijala sječenje, savijanje i ugradba betonskog željeza u arm. bet. konstruktivne elemente. Armatura se postavlja prema planu postavljanja armature. Obračun po 1kg ugrađenog betonskog  željeza.</t>
  </si>
  <si>
    <t>a) temelji</t>
  </si>
  <si>
    <t>kg</t>
  </si>
  <si>
    <t>b) ploče</t>
  </si>
  <si>
    <t>c) serklaži, stupovi</t>
  </si>
  <si>
    <t>d) grede</t>
  </si>
  <si>
    <t>e) križni svod</t>
  </si>
  <si>
    <r>
      <t xml:space="preserve">Armirano-betonski radovi                                                               </t>
    </r>
    <r>
      <rPr>
        <b/>
        <sz val="10"/>
        <rFont val="Arial"/>
        <family val="2"/>
        <charset val="238"/>
      </rPr>
      <t>kn</t>
    </r>
  </si>
  <si>
    <t xml:space="preserve">Zidarski radovi, podloge </t>
  </si>
  <si>
    <t>Iskolčenje objekta i izrada nanosne skele. Obračun je paušalan.</t>
  </si>
  <si>
    <t>paušal</t>
  </si>
  <si>
    <t>Dobava materijala i zidanje zidova blok opekom deb. 25 cm u produžnom mortu, uključivo sa spravljanjem maltera i izradom pomoćne radne skele. U cijenu su uračunati i svi potrebni vertikalni i horizontalni transporti. Obračun po 1m³ sazidanog zida.</t>
  </si>
  <si>
    <t>Dobava materijala i zidanje zidova blok opekom deb. 20 cm u produžnom mortu, uključivo sa spravljanjem maltera i izradom pomoćne radne skele. U cijenu su uračunati i svi potrebni vertikalni i horizontalni transporti. Obračun po 1m³ sazidanog zida.</t>
  </si>
  <si>
    <r>
      <t>m</t>
    </r>
    <r>
      <rPr>
        <sz val="10"/>
        <rFont val="Calibri"/>
        <family val="2"/>
        <charset val="238"/>
      </rPr>
      <t>³</t>
    </r>
  </si>
  <si>
    <t>Dobava materijala i izrada armiranih cementnih estriha u prizemlju. Estrih se izvodi kao podloga podovima obloženih kamenim i keramičkim pločama. 
Obračun po 1 m² izvedenog estriha.</t>
  </si>
  <si>
    <t>– estrih debljine 10 cm</t>
  </si>
  <si>
    <t>– estrih debljine 8 cm</t>
  </si>
  <si>
    <t>Dobava materijala i izrada grube i fine unutarnje žbuke zidova deb. 2,0 cm, uključivo sa izradom pomoćne radne skele. Žbukanje se vrši produžnom vapneno-gipsanom žbukom uz prethodni nabačaj cementnog naštrca. Obračun po 1 m² ožbukanog zida.</t>
  </si>
  <si>
    <t>Razne pripomoći i krpanja kod ugradbe elemenata vanjske i unutrašnje stolarije, popravci zidnih i podnih površina nakon izvedbe pojedinih faza instalacija i sl.</t>
  </si>
  <si>
    <t>kv radnik</t>
  </si>
  <si>
    <t>r.s.</t>
  </si>
  <si>
    <t>pkv radnik</t>
  </si>
  <si>
    <t>Višekratno čišćenje objekta tjekom izvođenja radova i završno fino čišćenje po završetku radova a prije primopredaje objekta naručitelju. Obračun po bruto površini građevine.</t>
  </si>
  <si>
    <r>
      <t xml:space="preserve">Zidarski radovi, podloge                                                                            </t>
    </r>
    <r>
      <rPr>
        <b/>
        <sz val="10"/>
        <rFont val="Arial"/>
        <family val="2"/>
        <charset val="238"/>
      </rPr>
      <t xml:space="preserve"> kn</t>
    </r>
  </si>
  <si>
    <t>Fasaderski radovi</t>
  </si>
  <si>
    <t>Montaža  lake cijevne fasadne skele, za izvedbu fasaderski i ostalih građevinsko – obrtničkih i instalaterskih radova.                                                U cijenu je uračunata i demontaža skele po završetu svih radova za koje je potrebna. 
Obračun po 1m² montirane skele.</t>
  </si>
  <si>
    <t>Dobava materijala i obrada zidova pročelja kamenom. Koristi se kamen Repen sa paljenom površinom, dimenzija 60x30x5 cm, bez fuga. Izrezati rubove kamenih ploča rezom od 5mm. Na zid nanosi se ljepilo u koje se između dva sloja utiskuje staklena mrežica te se ljepi kamen debljine 5 cm. Obračun po 1 m² obrađene fasade.</t>
  </si>
  <si>
    <r>
      <t xml:space="preserve">Fasaderski radovi                                                                                 </t>
    </r>
    <r>
      <rPr>
        <b/>
        <sz val="10"/>
        <rFont val="Arial"/>
        <family val="2"/>
        <charset val="238"/>
      </rPr>
      <t>kn</t>
    </r>
  </si>
  <si>
    <t>Izolaterski radovi</t>
  </si>
  <si>
    <t>Dobava materijala i izrada horizontalne i vertikalne hidroizolacije podova i zidova, na način da se za zaribanu ploču nanosi 1 sloj hladnog premaza na koji se postavlja 1 bitumenska ljepenka V-4 sa propisno izvedenim preklopima i zavarenim spojevima. Izolacija se izvodi prije zidanja, na dobro očišćenu i odprašenu podlogu. 
Obračun po 1 m² izvedene hidroizolacije.</t>
  </si>
  <si>
    <t>a) podovi</t>
  </si>
  <si>
    <t>b) zidovi (30 cm iznad budućeg terena)</t>
  </si>
  <si>
    <t>Izrada hidroizolacije kupaona AQUA FIN 2K masom u tri sloja na način da se svaki slijedeći premaz radi u suprotnom smijeru i nakon 12 – 24 h. Izolaciju dići na obodne zidove min 10 cm. Obračun po m2.</t>
  </si>
  <si>
    <t>a) wc</t>
  </si>
  <si>
    <t>Dobava materijala te izrada termo izolacije krova u jednom sloju d=5.0 cm, kamenom vunom koji se postavlja između letava 5x8.</t>
  </si>
  <si>
    <t>Dobava materijala te izrada paropropusnog, a vodonepropusnog sloja izolacijskom folijom tipa tyvek</t>
  </si>
  <si>
    <r>
      <t xml:space="preserve">Izolaterski radovi                                                                                 </t>
    </r>
    <r>
      <rPr>
        <b/>
        <sz val="10"/>
        <rFont val="Arial"/>
        <family val="2"/>
        <charset val="238"/>
      </rPr>
      <t>kn</t>
    </r>
  </si>
  <si>
    <t>Tesarski i krovopokrivački radovi</t>
  </si>
  <si>
    <t>Dobava materijala i ugradba drvenih rogova i sljemene grede krovne konstrukcije. Dimenzija rogova je 12x14 cm, uključivo sa izradom pomoćne radne skele. U cijenu su uračunati i svi potrebni vertikalni i horizontalni transporti. Obračun po 1m³ ugrađenog drva.</t>
  </si>
  <si>
    <t>Rogovi 12x14 cm</t>
  </si>
  <si>
    <t>Sljemena greda</t>
  </si>
  <si>
    <t>Dobava i montaža vertikalnih letava dimenzija 5x8 cm sve prema pravilima struke. Obračun po m³ ugrađenih letava.</t>
  </si>
  <si>
    <t>Dobava i montaža horizontalnih letava dimenzija 5x3 cm, kao konstrukcija za slaganje završnog pokrova krova, sve prema pravilima struke. Obračun po m³ ugrađenih letava.</t>
  </si>
  <si>
    <t>Dobava i montaža daske debljine 2 cm, koja se postavlja na rogove, sve prema pravilima struke. Obračun je po m2 krovišta.</t>
  </si>
  <si>
    <t>Dobava, izrada i montaža dvostrane oplate trakastih temelja i oplate temelja samca. U cijenu uračunat sav potreban materijal, rad i transport. Obračun po m2 dvostrane oplate.</t>
  </si>
  <si>
    <t>Dobava, izrada i montaža dvostrane oplate vertikalnih serklaža. U cijenu uračunat sav potreban materijal, rad i transport. Obračun po m2 dvostrane oplate.</t>
  </si>
  <si>
    <t>Dobava, izrada i montaža oplate stupova. U cijenu uračunat sav potreban materijal, rad i transport. Obračun po m2 oplate.</t>
  </si>
  <si>
    <t>Dobava, izrada i montaža dvostrane oplate horizontalnih serklaža krova iznad WC-a i pomoćnog prostora. U cijenu uračunat sav potreban materijal, rad i transport. Obračun po m2 dvostrane oplate.</t>
  </si>
  <si>
    <t>Dobava i postavljanje krovne obloge kupom kanalicom. 50% nove, 50% stare kupe.
Obračun po m2 krova.</t>
  </si>
  <si>
    <r>
      <t xml:space="preserve">Tesarski i krovopokrivački radovi                                                  </t>
    </r>
    <r>
      <rPr>
        <b/>
        <sz val="10"/>
        <rFont val="Arial"/>
        <family val="2"/>
        <charset val="238"/>
      </rPr>
      <t>kn</t>
    </r>
  </si>
  <si>
    <t>Križni svod - radovi</t>
  </si>
  <si>
    <t>Dobava, izrada i montaža oplate križnog svoda. U cijenu uračunat sav potreban materijal, rad i transport. Obračun po m2 dvostrane oplate.</t>
  </si>
  <si>
    <t>Dobava materijala i betoniranje armirano betonskog križnog svoda betonom M-30. Križni svod se izvodi prema statičkom računu i planu postavljanja armature. Obračun po 1 m³ ugrađenog betona.</t>
  </si>
  <si>
    <t>Dobava materijala i slaganje lomljenog kamena debljine od 3 do 4 cm na oplatu križnog svoda prije lijevanja betona. Obračun po m2 kamena</t>
  </si>
  <si>
    <r>
      <t xml:space="preserve">Križni svod - radovi                                                  </t>
    </r>
    <r>
      <rPr>
        <b/>
        <sz val="10"/>
        <rFont val="Arial"/>
        <family val="2"/>
        <charset val="238"/>
      </rPr>
      <t>kn</t>
    </r>
  </si>
  <si>
    <r>
      <t xml:space="preserve">GRAĐEVINSKI RADOVI                                                                     </t>
    </r>
    <r>
      <rPr>
        <b/>
        <sz val="11"/>
        <rFont val="Arial"/>
        <family val="2"/>
        <charset val="238"/>
      </rPr>
      <t>kn</t>
    </r>
  </si>
  <si>
    <t>B</t>
  </si>
  <si>
    <t>OBRTNIČKI RADOVI</t>
  </si>
  <si>
    <t>Limarski radovi</t>
  </si>
  <si>
    <t>Izrada i montaža olučnih horizontalnih profiliranih žljebova od obojenog pocinčanog lima, koji se montiraju na krov . Obračun je po m1 postavljenog oluka.</t>
  </si>
  <si>
    <r>
      <t>m</t>
    </r>
    <r>
      <rPr>
        <vertAlign val="superscript"/>
        <sz val="10"/>
        <rFont val="Arial"/>
        <family val="2"/>
        <charset val="238"/>
      </rPr>
      <t>1</t>
    </r>
  </si>
  <si>
    <t>Izrada i montaža olučnih vertikalnih okruglih cijevi φ 100 mm, od obojenog pocinčanog lima , komplet sa obujmicama i koljenima. Obračun je po m1 postavljenih cijevi.</t>
  </si>
  <si>
    <t>Izrada i montaža limenih "čelnih" opšava od obojenog pocinčanog lima. U cijenu su uračunate i kuke za pričvršćenje te sav ostali potreban materijal, rad i transport. Lim je RŠ 45 cm. Obračun je po m1 postavljenog limenog opšava.</t>
  </si>
  <si>
    <t>Izrada i montaža limenog opšava uvale od obojenog pocinčanog lima. U cijenu su uračunate i kuke za pričvršćenje te sav ostali potreban materijal, rad i transport. Lim je RŠ 60 cm. Obračun je po m1 postavljenog limenog opšava.</t>
  </si>
  <si>
    <r>
      <t xml:space="preserve">Limarski radovi                                                                                    </t>
    </r>
    <r>
      <rPr>
        <b/>
        <sz val="10"/>
        <rFont val="Arial"/>
        <family val="2"/>
        <charset val="238"/>
      </rPr>
      <t xml:space="preserve"> kn</t>
    </r>
  </si>
  <si>
    <t>Stolarski radovi</t>
  </si>
  <si>
    <t xml:space="preserve">Izrada, dobava i montaža dvokrilnih metalnih zaokretnih vanjskih ulaznih vrata ispunjenih kamenim blokom.  Vrata su opskrbljena sa svim potrebnim okovom i priborom.  Detalje oko izrade vrata dogovoriti sa projektantom. Sve komplet izvedeno prema projektu i shemi stolarije. Obračun po 1 kom ugrađenih vrata. </t>
  </si>
  <si>
    <t>Građevinske mjere: 200cm x 336 + 54 cm(š x v)</t>
  </si>
  <si>
    <t>kom</t>
  </si>
  <si>
    <t xml:space="preserve">Izrada, dobava i montaža vanjskih drvenih vrata sa panel ispunom. Lakirati sa 6 slojeva laka . Završni sloj furnira odabire projektant. Mjere projeriti na licu mjesta. Vrata su opskrbljena sa svim potrebnim okovom i priborom. Sve komplet izvedeno prema projektu i shemi stolarije. Obračun po 1 kom ugrađenih vrata. </t>
  </si>
  <si>
    <t>Građevinske mjere: 94x217 (š x v) - desna</t>
  </si>
  <si>
    <t>Svjetle mjere vrata: 80x210 cm (š x v) - desna</t>
  </si>
  <si>
    <t xml:space="preserve">Izrada, dobava i montaža punih drvenih unutarnjih vrata. Vrata su opskrbljena sa svim potrebnim okovom i priborom. Mjere provjeriti na licu mjesta. Sve komplet izvedeno prema projektu i shemi stolarije. Obračun po 1 kom ugrađenih vrata. </t>
  </si>
  <si>
    <t>Građevinske mjere 94cm x 217cm (š x v) - lijeva</t>
  </si>
  <si>
    <t>Svjetle mjere vrata 80cm x 210 cm (š x v) - lijeva</t>
  </si>
  <si>
    <t xml:space="preserve">Izrada, dobava i montaža metalnog jednokrilnog prozora koji se postavlja između erte. Zidarske mjere otvora su 40x300cm te unutar njih idu kamene erte. Dimenzija prozora je 15 x 275 cm. Prozor je opskrbljen svim potrebnim okovom i priborom. Ostakliti s lameliranim-kaljenim staklom 5+5 mm. Detalje oko izrade prozora dogovoriti sa projektantom. Mjere provjeriti na licu mjesta. Sve komplet izvedeno prema projektu i shemi stolarije. Obračun po 1 kom ugrađenog prozora. </t>
  </si>
  <si>
    <t>Građevinske mjere 40 cm x 300 cm (š x v)</t>
  </si>
  <si>
    <r>
      <t xml:space="preserve">Stolarski radovi                                                                                  </t>
    </r>
    <r>
      <rPr>
        <b/>
        <sz val="10"/>
        <rFont val="Arial"/>
        <family val="2"/>
        <charset val="238"/>
      </rPr>
      <t>kn</t>
    </r>
  </si>
  <si>
    <t>Keramičarski radovi</t>
  </si>
  <si>
    <r>
      <t xml:space="preserve">Dobava materijala i postava zidnih glaziranih keramičkih pločica. Pločice se postavljaju ortogonalno ljepljenjem fuga na fugu, a spojnice obrađuju fugir smjesom u boji. U stavci pločica obuhvaćeno je i ljepilo te fugir masa.
</t>
    </r>
    <r>
      <rPr>
        <i/>
        <sz val="10"/>
        <rFont val="Arial"/>
        <family val="2"/>
        <charset val="238"/>
      </rPr>
      <t xml:space="preserve">Napomena:
</t>
    </r>
    <r>
      <rPr>
        <i/>
        <sz val="9"/>
        <rFont val="Arial"/>
        <family val="2"/>
        <charset val="238"/>
      </rPr>
      <t xml:space="preserve">Kod nabavke pločica predvidjeti minimalno 3% otpada zbog rezanja pločica.                                                  </t>
    </r>
    <r>
      <rPr>
        <sz val="10"/>
        <rFont val="Arial"/>
        <family val="2"/>
        <charset val="238"/>
      </rPr>
      <t>Obračun po 1 m² postavljene keramike.</t>
    </r>
  </si>
  <si>
    <t>a) prostorija 3 (WC)</t>
  </si>
  <si>
    <t>b) prostorija 4 (WC)</t>
  </si>
  <si>
    <t>c) postava pločica</t>
  </si>
  <si>
    <r>
      <t xml:space="preserve">Keramičarski radovi                                                                         </t>
    </r>
    <r>
      <rPr>
        <b/>
        <sz val="10"/>
        <rFont val="Arial"/>
        <family val="2"/>
        <charset val="238"/>
      </rPr>
      <t xml:space="preserve"> kn</t>
    </r>
  </si>
  <si>
    <t>Kamenorezački radovi</t>
  </si>
  <si>
    <t>Dobava materijala, izrada i montaža poliranih pragova vanjskih vrata od poliranog kamena (kastavskog sivca) debljine 5 cm. 
Obračun po 1 kom ugrađenog praga</t>
  </si>
  <si>
    <t>Dim. 200/30/5 cm</t>
  </si>
  <si>
    <t>Dim. 94/30/5 cm</t>
  </si>
  <si>
    <t>Dobava materijala, izrada i montaža kamenih erti oko prozora debljine 15 cm. Dimenzije erti pogledati u glavnom i izvedbenom projektu.
Vrsta kamena Repen polirani.
Obračun po m1 ugrađene erte.</t>
  </si>
  <si>
    <t>Dobava materijala, izrada i obloga poda kamenom u interijeru građevine (prostorije 2, 3 i 4). Postavlja se kamen debljine 3 cm. 
Kamena ploča rozalit dimenzija 25x12x3 cm. Podna obloga postavlja se bez fuga. Kamena površina polirana
Obračun po m2 obložene površine poda.</t>
  </si>
  <si>
    <t>Dobava materijala, izrada i obloga poda kamenom u interijeru građevine (prostorija 1 - prostor mrtvačnice). Postavlja se kamen debljine 3 cm. Podna obloga postavlja se bez fuga. Obračun po komadu kamene ploče obložene površine poda.</t>
  </si>
  <si>
    <t xml:space="preserve">a) Kamena ploča dimenzija 20x20x3 cm (kastavski sivac - svijetli) </t>
  </si>
  <si>
    <t>b) Kamena ploča dimenzija 20x20x3 cm (rozalit)</t>
  </si>
  <si>
    <t>c) Kamena ploča dimenzija 20x40x3 cm (kastavski sivac - svijetli)</t>
  </si>
  <si>
    <t>d) Kamena ploča dimenzija 20x40x3 cm (rozalit)</t>
  </si>
  <si>
    <t>e) Kamena ploča dimenzija 43x20x3 cm (kastavski sivac - svijetli)</t>
  </si>
  <si>
    <t>f) Kamena ploča dimenzija 43x20x3 cm (rozalit)</t>
  </si>
  <si>
    <t>g) Kamena ploča dimenzija 43x40x3 cm (kastavski sivac - svijetli)</t>
  </si>
  <si>
    <t>Dobava materijala, izrada i obloga poda kamenom u eksterijeru - natkrivenoj terasi. Vrsta kamena štokani Repen. Podna obloga postavlja se bez fuga. Obračun po m2 obložene površine poda.</t>
  </si>
  <si>
    <t>m2</t>
  </si>
  <si>
    <r>
      <t xml:space="preserve">Kamenorezački radovi                                                                    </t>
    </r>
    <r>
      <rPr>
        <b/>
        <sz val="10"/>
        <rFont val="Arial"/>
        <family val="2"/>
        <charset val="238"/>
      </rPr>
      <t xml:space="preserve"> kn</t>
    </r>
  </si>
  <si>
    <t>Soboslikarski radovi</t>
  </si>
  <si>
    <t>Dobava materijala i ličenje unutrašnjih zidova akrilnom bojom u tonu po izboru investitora i projektanta.
Stavka obuhvaća gletanje, potom brušenje i impregniranje. Na tako pripremljenu podlogu zidovi se dvokratno liče.
Obračun po 1 m² oličene površine.</t>
  </si>
  <si>
    <t>Dobava materijala i ličenje stropova akrilnom bojom u tonu po izboru investitora i projektanta.
Stavka obuhvaća gletanje, potom brušenje i impregniranje. Na tako pripremljenu podlogu stropovi se dvokratno liče.
Obračun po 1 m² oličene površine.</t>
  </si>
  <si>
    <r>
      <t xml:space="preserve">Soboslikarski radovi                                                                           </t>
    </r>
    <r>
      <rPr>
        <b/>
        <sz val="10"/>
        <rFont val="Arial"/>
        <family val="2"/>
        <charset val="238"/>
      </rPr>
      <t>kn</t>
    </r>
  </si>
  <si>
    <t>Karton-gips montažerski radovi</t>
  </si>
  <si>
    <r>
      <t>D112 – spušteni strop. Dobava i montaža spuštenog stropa tipa Knauf D112 s jednostrukom oblogom iz gips-kartonskih ploča debljine 12,5 mm, tipa A13 i dvostrukom podkonstrukcijom.
Podkonstrukcija se sastoji od nosivih CD profila postavljenih na rasteru 90 cm i
montažnih CD profila postavljeni na rasteru 50 cm.
Na izvedenu podkonstrukciju postavlja se gipsana ploča A13.
Visina spuštanja pogleda 12</t>
    </r>
    <r>
      <rPr>
        <sz val="10"/>
        <rFont val="Arial;sans-serif"/>
        <family val="2"/>
        <charset val="238"/>
      </rPr>
      <t xml:space="preserve"> cm o</t>
    </r>
    <r>
      <rPr>
        <sz val="10"/>
        <color indexed="63"/>
        <rFont val="Arial;sans-serif"/>
        <family val="2"/>
        <charset val="238"/>
      </rPr>
      <t>d međukatne ploče. Visina pogleda spuštenog stropa od podloge 2.59</t>
    </r>
    <r>
      <rPr>
        <sz val="10"/>
        <color indexed="10"/>
        <rFont val="Arial;sans-serif"/>
        <family val="2"/>
        <charset val="238"/>
      </rPr>
      <t xml:space="preserve"> </t>
    </r>
    <r>
      <rPr>
        <sz val="10"/>
        <rFont val="Arial;sans-serif"/>
        <family val="2"/>
        <charset val="238"/>
      </rPr>
      <t xml:space="preserve">m.
</t>
    </r>
    <r>
      <rPr>
        <sz val="10"/>
        <color indexed="63"/>
        <rFont val="Arial;sans-serif"/>
        <family val="2"/>
        <charset val="238"/>
      </rPr>
      <t>Dvostruku podkonstrukciju iz Knauf tipskih CD/UD profila iz pocinčanog lima debljine 0,6 mm montirati i objesiti prema ukupnoj težini. Obrada spojeva Uniflott-om.
Pri izradi držati se smjernica i uputa proizvođača. Površinu premazati sa Knauf Tiefengrund prije bojanja.
Kvaliteta završne obrade spojeva prema kvaliteti obrade površine K2</t>
    </r>
    <r>
      <rPr>
        <sz val="10"/>
        <rFont val="Arial;sans-serif"/>
        <family val="2"/>
        <charset val="238"/>
      </rPr>
      <t xml:space="preserve">                                                 U cijenu uključena izrada svih otvora, prolaza i priključnih mjesta za razne instalacije te obrada spojeva. U cijenu uračunat sav potreban rad i materijal. Obračun je po m2 zida.</t>
    </r>
  </si>
  <si>
    <t>Dobava i montaža ne nosive pregrade tipa Knauf W111 s obostranom jednostrukom oblogom iz gips-kartonskih ploča A13. Ispuna iz kamene vune Knauf Insulation TP 115 debljine 50 mm.
Ukupna debljina pregradnog zida je 10,0 cm. Visina zida je do nosive konstrukcije stropa. Podkonstrukcija se postavlja do nosive konstrukcije. Izrada podkonstrukcije iz Knauf tipskih profila CW/UW 75 od pocinčanog lima debljine 0,6 mm.
Međusobni razmaci okomitih CW profila 62,5 cm. Obrada spojeva Uniflott-om. Pri izradi držati se smjernica i uputa proizvođača.
Površinu premazati sa Knauf Tiefengrund prije bojanja.
Kvaliteta završne obrade spojeva i površine prema kvaliteti K2.                                                U cijenu uključena izrada svih otvora, prolaza i priključnih mjesta za razne instalacije te obrada spojeva. U cijenu uračunat sav potreban rad i materijal. Obračun je po m2 zida.</t>
  </si>
  <si>
    <r>
      <t xml:space="preserve">Karton-gips montažerski radovi                                                    </t>
    </r>
    <r>
      <rPr>
        <b/>
        <sz val="10"/>
        <rFont val="Arial"/>
        <family val="2"/>
        <charset val="238"/>
      </rPr>
      <t xml:space="preserve"> kn</t>
    </r>
  </si>
  <si>
    <t>Instalaterski radovi</t>
  </si>
  <si>
    <t>Dobava, doprema i ugradba pocinčanih ppr cijevi za hladnu vodu promjera 5/4" sa spojnim materijalom i protočnim ventilima. Cijevi zaštititi filcanim trakama. U cijenu je uračunat sav potrebni materijal rad i transport.                                   Obračun po m¹ postavljene cijevi.</t>
  </si>
  <si>
    <t>Dobava, doprema i ugradba pocinčanih ppr cijevi za hladnu vodu promjera 3/4" sa spojnim materijalom i protočnim ventilima. Cijevi zaštititi filcanim trakama. U cijenu je uračunat sav potrebni materijal rad i transport.                                   Obračun po m¹ postavljene cijevi.</t>
  </si>
  <si>
    <t>Dobava, doprema i ugradba PVC cijevi odvoda promjera 125 mm sa spojnim elementima te izradom priključaka na postojeću vertikalu. U cijenu je uračunat sav potreban materijal, rad i trasnsport. Obračun po m¹ postavljene cijevi.</t>
  </si>
  <si>
    <t>Dobava, doprema i ugradba PVC cijevi odvoda promjera 110 mm sa spojnim elementima te izradom priključaka na postojeću vertikalu. U cijenu je uračunat sav potreban materijal, rad i trasnsport. Obračun po m¹ postavljene cijevi.</t>
  </si>
  <si>
    <t>m1</t>
  </si>
  <si>
    <t>Dobava, doprema i ugradba PVC cijevi odvoda promjera 50 mm sa spojnim elementima te izradom priključaka na postojeću vertikalu. Obračun po m¹ postavljene cijevi.</t>
  </si>
  <si>
    <t>Dobava, doprema i ugradnja kromiranog podnog top - sifona sa priključenjem.                                             Obračun po komadu.</t>
  </si>
  <si>
    <t>Dobava, doprema i ugradnja WC školjke za sanitarni čvor s pripadajućim vodokotlićem. Za montažu predvidjeti sve potrebne ventile i spojnice.</t>
  </si>
  <si>
    <t>Dobava, doprema i ugradnja umivaonika. Uz umivaonik predvidjeti dobavu i montažu slavine. Za montažu predvidjeti sve potrebne ventile i spojnice.
u stavci predvidjeti dobavu i montažu kristalnog ogledala montiranog iznad umivaonika.                       Ucijenu uračunat sav potrebni materijal, rad i transport.                                                                 Obračnun po komadu.</t>
  </si>
  <si>
    <t>Dobava i montaža sanitarnog pribora</t>
  </si>
  <si>
    <t>a/ Inox držač rolo papira</t>
  </si>
  <si>
    <t>b/ Inox spremnik za tekući sapun zidne montaže</t>
  </si>
  <si>
    <t>c/ Inox posuda s poklopcem za otpatke</t>
  </si>
  <si>
    <t>d/ četka za WC</t>
  </si>
  <si>
    <r>
      <t xml:space="preserve">Instalaterski radovi                                                                   </t>
    </r>
    <r>
      <rPr>
        <b/>
        <sz val="10"/>
        <rFont val="Arial"/>
        <family val="2"/>
        <charset val="238"/>
      </rPr>
      <t xml:space="preserve">   kn</t>
    </r>
  </si>
  <si>
    <t>REKAPITULACIJA - TROŠKOVNIK ARHITEKTURE:</t>
  </si>
  <si>
    <t>Građevinski radovi:</t>
  </si>
  <si>
    <t>Obrtnički radovi:</t>
  </si>
  <si>
    <r>
      <t xml:space="preserve">OBRTNIČKI RADOVI                                                                     </t>
    </r>
    <r>
      <rPr>
        <b/>
        <sz val="11"/>
        <rFont val="Arial"/>
        <family val="2"/>
        <charset val="238"/>
      </rPr>
      <t>kn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</si>
</sst>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quot; kn&quot;;[Red]\-#,##0.00&quot; kn&quot;"/>
    <numFmt numFmtId="165" formatCode="dd/mm/yy"/>
    <numFmt numFmtId="166" formatCode="#,##0.00&quot; kn&quot;"/>
  </numFmts>
  <fonts count="23">
    <font>
      <sz val="10"/>
      <name val="Arial"/>
      <family val="2"/>
      <charset val="238"/>
    </font>
    <font>
      <sz val="8.5"/>
      <name val="Tahoma"/>
      <family val="2"/>
      <charset val="238"/>
    </font>
    <font>
      <sz val="10"/>
      <name val="Arial"/>
      <family val="2"/>
      <charset val="1"/>
    </font>
    <font>
      <b/>
      <sz val="10"/>
      <name val="Arial"/>
      <family val="2"/>
      <charset val="1"/>
    </font>
    <font>
      <b/>
      <u/>
      <sz val="10"/>
      <name val="Arial"/>
      <family val="2"/>
      <charset val="1"/>
    </font>
    <font>
      <sz val="10"/>
      <color indexed="10"/>
      <name val="Arial"/>
      <family val="2"/>
      <charset val="238"/>
    </font>
    <font>
      <sz val="10"/>
      <color indexed="10"/>
      <name val="Arial"/>
      <family val="2"/>
      <charset val="1"/>
    </font>
    <font>
      <b/>
      <sz val="10"/>
      <name val="Arial"/>
      <family val="2"/>
      <charset val="238"/>
    </font>
    <font>
      <b/>
      <sz val="12"/>
      <name val="Arial"/>
      <family val="2"/>
      <charset val="238"/>
    </font>
    <font>
      <b/>
      <sz val="8"/>
      <color indexed="8"/>
      <name val="Times New Roman"/>
      <family val="1"/>
      <charset val="238"/>
    </font>
    <font>
      <b/>
      <sz val="11"/>
      <name val="Arial"/>
      <family val="2"/>
      <charset val="238"/>
    </font>
    <font>
      <vertAlign val="superscript"/>
      <sz val="10"/>
      <name val="Arial"/>
      <family val="2"/>
      <charset val="238"/>
    </font>
    <font>
      <b/>
      <i/>
      <sz val="11"/>
      <name val="Arial"/>
      <family val="2"/>
      <charset val="238"/>
    </font>
    <font>
      <sz val="10"/>
      <color indexed="8"/>
      <name val="Arial"/>
      <family val="2"/>
      <charset val="238"/>
    </font>
    <font>
      <sz val="10"/>
      <color indexed="8"/>
      <name val="Arial"/>
      <family val="2"/>
      <charset val="1"/>
    </font>
    <font>
      <sz val="10"/>
      <name val="Calibri"/>
      <family val="2"/>
      <charset val="238"/>
    </font>
    <font>
      <i/>
      <sz val="10"/>
      <name val="Arial"/>
      <family val="2"/>
      <charset val="238"/>
    </font>
    <font>
      <i/>
      <sz val="9"/>
      <name val="Arial"/>
      <family val="2"/>
      <charset val="238"/>
    </font>
    <font>
      <sz val="10"/>
      <color indexed="63"/>
      <name val="Arial;sans-serif"/>
      <family val="2"/>
      <charset val="238"/>
    </font>
    <font>
      <sz val="10"/>
      <name val="Arial;sans-serif"/>
      <family val="2"/>
      <charset val="238"/>
    </font>
    <font>
      <sz val="10"/>
      <color indexed="10"/>
      <name val="Arial;sans-serif"/>
      <family val="2"/>
      <charset val="238"/>
    </font>
    <font>
      <sz val="9"/>
      <name val="Arial"/>
      <family val="2"/>
      <charset val="1"/>
    </font>
    <font>
      <sz val="10"/>
      <name val="Arial"/>
      <family val="2"/>
      <charset val="238"/>
    </font>
  </fonts>
  <fills count="2">
    <fill>
      <patternFill patternType="none"/>
    </fill>
    <fill>
      <patternFill patternType="gray125"/>
    </fill>
  </fills>
  <borders count="2">
    <border>
      <left/>
      <right/>
      <top/>
      <bottom/>
      <diagonal/>
    </border>
    <border>
      <left/>
      <right/>
      <top/>
      <bottom style="hair">
        <color indexed="8"/>
      </bottom>
      <diagonal/>
    </border>
  </borders>
  <cellStyleXfs count="3">
    <xf numFmtId="0" fontId="0" fillId="0" borderId="0"/>
    <xf numFmtId="0" fontId="1" fillId="0" borderId="0"/>
    <xf numFmtId="9" fontId="22" fillId="0" borderId="0" applyFill="0" applyBorder="0" applyAlignment="0" applyProtection="0"/>
  </cellStyleXfs>
  <cellXfs count="152">
    <xf numFmtId="0" fontId="0" fillId="0" borderId="0" xfId="0"/>
    <xf numFmtId="0" fontId="2" fillId="0" borderId="0" xfId="0" applyFont="1"/>
    <xf numFmtId="164" fontId="2" fillId="0" borderId="0" xfId="0" applyNumberFormat="1" applyFont="1"/>
    <xf numFmtId="0" fontId="3" fillId="0" borderId="0" xfId="0" applyFont="1"/>
    <xf numFmtId="0" fontId="0" fillId="0" borderId="0" xfId="0" applyFont="1"/>
    <xf numFmtId="0" fontId="2" fillId="0" borderId="0" xfId="0" applyFont="1" applyBorder="1" applyAlignment="1">
      <alignment horizontal="left" vertical="top" wrapText="1"/>
    </xf>
    <xf numFmtId="164" fontId="3" fillId="0" borderId="0" xfId="0" applyNumberFormat="1" applyFont="1"/>
    <xf numFmtId="164" fontId="2" fillId="0" borderId="0" xfId="0" applyNumberFormat="1" applyFont="1" applyAlignment="1">
      <alignment horizontal="right"/>
    </xf>
    <xf numFmtId="0" fontId="3" fillId="0" borderId="0" xfId="0" applyFont="1" applyFill="1" applyBorder="1" applyAlignment="1"/>
    <xf numFmtId="0" fontId="4" fillId="0" borderId="0" xfId="0" applyFont="1" applyFill="1" applyBorder="1" applyAlignment="1"/>
    <xf numFmtId="164" fontId="4" fillId="0" borderId="0" xfId="0" applyNumberFormat="1" applyFont="1" applyFill="1" applyBorder="1" applyAlignment="1"/>
    <xf numFmtId="0" fontId="2" fillId="0" borderId="0" xfId="1" applyFont="1" applyAlignment="1">
      <alignment horizontal="center" wrapText="1"/>
    </xf>
    <xf numFmtId="0" fontId="4" fillId="0" borderId="0" xfId="0" applyFont="1" applyAlignment="1"/>
    <xf numFmtId="0" fontId="2" fillId="0" borderId="0" xfId="0" applyFont="1" applyAlignment="1">
      <alignment horizontal="right"/>
    </xf>
    <xf numFmtId="164" fontId="2" fillId="0" borderId="0" xfId="1" applyNumberFormat="1" applyFont="1" applyAlignment="1">
      <alignment wrapText="1"/>
    </xf>
    <xf numFmtId="0" fontId="2" fillId="0" borderId="0" xfId="1" applyFont="1" applyAlignment="1">
      <alignment wrapText="1"/>
    </xf>
    <xf numFmtId="0" fontId="2" fillId="0" borderId="0" xfId="1" applyFont="1" applyAlignment="1">
      <alignment horizontal="center"/>
    </xf>
    <xf numFmtId="49" fontId="3" fillId="0" borderId="0" xfId="0" applyNumberFormat="1" applyFont="1" applyBorder="1" applyAlignment="1">
      <alignment vertical="top"/>
    </xf>
    <xf numFmtId="164" fontId="3" fillId="0" borderId="0" xfId="0" applyNumberFormat="1" applyFont="1" applyBorder="1" applyAlignment="1"/>
    <xf numFmtId="4" fontId="3" fillId="0" borderId="0" xfId="0" applyNumberFormat="1" applyFont="1" applyBorder="1" applyAlignment="1"/>
    <xf numFmtId="49" fontId="2" fillId="0" borderId="0" xfId="0" applyNumberFormat="1" applyFont="1" applyAlignment="1">
      <alignment vertical="top"/>
    </xf>
    <xf numFmtId="0" fontId="2" fillId="0" borderId="0" xfId="1" applyFont="1" applyAlignment="1"/>
    <xf numFmtId="164" fontId="2" fillId="0" borderId="0" xfId="1" applyNumberFormat="1" applyFont="1" applyAlignment="1"/>
    <xf numFmtId="164" fontId="2" fillId="0" borderId="0" xfId="0" applyNumberFormat="1" applyFont="1" applyAlignment="1"/>
    <xf numFmtId="4" fontId="2" fillId="0" borderId="0" xfId="0" applyNumberFormat="1" applyFont="1" applyAlignment="1"/>
    <xf numFmtId="165" fontId="2" fillId="0" borderId="0" xfId="1" applyNumberFormat="1" applyFont="1" applyAlignment="1">
      <alignment horizontal="left"/>
    </xf>
    <xf numFmtId="49" fontId="2" fillId="0" borderId="0" xfId="0" applyNumberFormat="1" applyFont="1" applyBorder="1" applyAlignment="1">
      <alignment vertical="top"/>
    </xf>
    <xf numFmtId="164" fontId="2" fillId="0" borderId="0" xfId="0" applyNumberFormat="1" applyFont="1" applyBorder="1" applyAlignment="1">
      <alignment horizontal="right"/>
    </xf>
    <xf numFmtId="164" fontId="2" fillId="0" borderId="0" xfId="0" applyNumberFormat="1" applyFont="1" applyBorder="1" applyAlignment="1"/>
    <xf numFmtId="4" fontId="2" fillId="0" borderId="0" xfId="0" applyNumberFormat="1" applyFont="1" applyBorder="1" applyAlignment="1"/>
    <xf numFmtId="165" fontId="2" fillId="0" borderId="0" xfId="1" applyNumberFormat="1" applyFont="1" applyAlignment="1">
      <alignment horizontal="center"/>
    </xf>
    <xf numFmtId="0" fontId="2" fillId="0" borderId="0" xfId="1" applyFont="1" applyAlignment="1">
      <alignment horizontal="left"/>
    </xf>
    <xf numFmtId="49" fontId="2" fillId="0" borderId="0" xfId="0" applyNumberFormat="1" applyFont="1" applyFill="1" applyBorder="1" applyAlignment="1">
      <alignment vertical="top"/>
    </xf>
    <xf numFmtId="164" fontId="2" fillId="0" borderId="0" xfId="0" applyNumberFormat="1" applyFont="1" applyFill="1" applyBorder="1" applyAlignment="1">
      <alignment horizontal="right"/>
    </xf>
    <xf numFmtId="164" fontId="2" fillId="0" borderId="0" xfId="0" applyNumberFormat="1" applyFont="1" applyFill="1" applyBorder="1" applyAlignment="1"/>
    <xf numFmtId="4" fontId="2" fillId="0" borderId="0" xfId="0" applyNumberFormat="1" applyFont="1" applyFill="1" applyBorder="1" applyAlignment="1"/>
    <xf numFmtId="0" fontId="5" fillId="0" borderId="0" xfId="0" applyFont="1"/>
    <xf numFmtId="0" fontId="6" fillId="0" borderId="0" xfId="1" applyFont="1" applyAlignment="1">
      <alignment horizontal="center"/>
    </xf>
    <xf numFmtId="0" fontId="6" fillId="0" borderId="0" xfId="1" applyFont="1" applyAlignment="1">
      <alignment horizontal="left"/>
    </xf>
    <xf numFmtId="49" fontId="6" fillId="0" borderId="0" xfId="0" applyNumberFormat="1" applyFont="1" applyFill="1" applyBorder="1" applyAlignment="1">
      <alignment vertical="top"/>
    </xf>
    <xf numFmtId="164" fontId="6" fillId="0" borderId="0" xfId="0" applyNumberFormat="1" applyFont="1" applyFill="1" applyBorder="1" applyAlignment="1">
      <alignment horizontal="right"/>
    </xf>
    <xf numFmtId="164" fontId="6" fillId="0" borderId="0" xfId="0" applyNumberFormat="1" applyFont="1" applyFill="1" applyBorder="1" applyAlignment="1"/>
    <xf numFmtId="4" fontId="6" fillId="0" borderId="0" xfId="0" applyNumberFormat="1" applyFont="1" applyFill="1" applyBorder="1" applyAlignment="1"/>
    <xf numFmtId="0" fontId="2" fillId="0" borderId="1" xfId="0" applyFont="1" applyFill="1" applyBorder="1" applyAlignment="1"/>
    <xf numFmtId="164" fontId="2" fillId="0" borderId="1" xfId="0" applyNumberFormat="1" applyFont="1" applyFill="1" applyBorder="1" applyAlignment="1">
      <alignment horizontal="right"/>
    </xf>
    <xf numFmtId="0" fontId="2" fillId="0" borderId="0" xfId="0" applyFont="1" applyFill="1" applyBorder="1" applyAlignment="1"/>
    <xf numFmtId="0" fontId="3" fillId="0" borderId="0" xfId="0" applyFont="1" applyAlignment="1">
      <alignment horizontal="left"/>
    </xf>
    <xf numFmtId="0" fontId="3" fillId="0" borderId="0" xfId="0" applyFont="1" applyAlignment="1">
      <alignment horizontal="right"/>
    </xf>
    <xf numFmtId="0" fontId="2" fillId="0" borderId="0" xfId="0" applyFont="1" applyBorder="1"/>
    <xf numFmtId="0" fontId="6" fillId="0" borderId="0" xfId="0" applyFont="1"/>
    <xf numFmtId="164" fontId="6" fillId="0" borderId="0" xfId="0" applyNumberFormat="1" applyFont="1"/>
    <xf numFmtId="0" fontId="0" fillId="0" borderId="0" xfId="0" applyAlignment="1">
      <alignment horizontal="center" vertical="top"/>
    </xf>
    <xf numFmtId="0" fontId="0" fillId="0" borderId="0" xfId="0" applyAlignment="1">
      <alignment horizontal="center" vertical="center"/>
    </xf>
    <xf numFmtId="0" fontId="0" fillId="0" borderId="0" xfId="0" applyAlignment="1">
      <alignment horizontal="center"/>
    </xf>
    <xf numFmtId="4" fontId="0" fillId="0" borderId="0" xfId="0" applyNumberFormat="1" applyAlignment="1">
      <alignment horizontal="center"/>
    </xf>
    <xf numFmtId="4" fontId="0" fillId="0" borderId="0" xfId="0" applyNumberFormat="1" applyAlignment="1">
      <alignment horizontal="right"/>
    </xf>
    <xf numFmtId="0" fontId="0" fillId="0" borderId="0" xfId="0" applyFont="1" applyAlignment="1">
      <alignment horizontal="center" vertical="top"/>
    </xf>
    <xf numFmtId="0" fontId="7" fillId="0" borderId="0" xfId="0" applyFont="1" applyAlignment="1">
      <alignment horizontal="left" vertical="center"/>
    </xf>
    <xf numFmtId="0" fontId="0" fillId="0" borderId="0" xfId="0" applyFont="1" applyAlignment="1">
      <alignment horizontal="center"/>
    </xf>
    <xf numFmtId="4" fontId="0" fillId="0" borderId="0" xfId="0" applyNumberFormat="1" applyFont="1" applyAlignment="1">
      <alignment horizontal="center"/>
    </xf>
    <xf numFmtId="4" fontId="0" fillId="0" borderId="0" xfId="0" applyNumberFormat="1" applyFont="1" applyAlignment="1">
      <alignment horizontal="right"/>
    </xf>
    <xf numFmtId="0" fontId="8" fillId="0" borderId="0" xfId="0" applyFont="1" applyAlignment="1">
      <alignment horizontal="center" vertical="top"/>
    </xf>
    <xf numFmtId="0" fontId="0" fillId="0" borderId="0" xfId="0" applyNumberFormat="1" applyFont="1" applyFill="1" applyBorder="1" applyAlignment="1">
      <alignment horizontal="center"/>
    </xf>
    <xf numFmtId="0" fontId="7" fillId="0" borderId="0" xfId="0" applyFont="1" applyAlignment="1">
      <alignment horizontal="center" vertical="top" wrapText="1"/>
    </xf>
    <xf numFmtId="0" fontId="10" fillId="0" borderId="0" xfId="0" applyFont="1" applyAlignment="1">
      <alignment horizontal="center" vertical="center"/>
    </xf>
    <xf numFmtId="0" fontId="10" fillId="0" borderId="0" xfId="0" applyFont="1" applyAlignment="1">
      <alignment horizontal="center" vertical="center" wrapText="1"/>
    </xf>
    <xf numFmtId="4" fontId="10" fillId="0" borderId="0" xfId="0" applyNumberFormat="1" applyFont="1" applyAlignment="1">
      <alignment horizontal="center" vertical="center"/>
    </xf>
    <xf numFmtId="4" fontId="10" fillId="0" borderId="0" xfId="0" applyNumberFormat="1" applyFont="1" applyAlignment="1">
      <alignment horizontal="center" vertical="center" wrapText="1"/>
    </xf>
    <xf numFmtId="1" fontId="10" fillId="0" borderId="0" xfId="0" applyNumberFormat="1" applyFont="1" applyFill="1" applyAlignment="1">
      <alignment horizontal="center" vertical="top"/>
    </xf>
    <xf numFmtId="0" fontId="0" fillId="0" borderId="0" xfId="0" applyNumberFormat="1" applyFont="1" applyFill="1" applyBorder="1" applyAlignment="1">
      <alignment horizontal="justify" vertical="center" wrapText="1"/>
    </xf>
    <xf numFmtId="4" fontId="0" fillId="0" borderId="0" xfId="0" applyNumberFormat="1" applyFont="1" applyFill="1" applyBorder="1" applyAlignment="1">
      <alignment horizontal="right"/>
    </xf>
    <xf numFmtId="4" fontId="0" fillId="0" borderId="0" xfId="0" applyNumberFormat="1" applyFont="1" applyFill="1" applyAlignment="1">
      <alignment horizontal="right"/>
    </xf>
    <xf numFmtId="0" fontId="12" fillId="0" borderId="0" xfId="0" applyNumberFormat="1" applyFont="1" applyFill="1" applyBorder="1" applyAlignment="1">
      <alignment vertical="center" wrapText="1"/>
    </xf>
    <xf numFmtId="0" fontId="10" fillId="0" borderId="0" xfId="0" applyFont="1" applyFill="1" applyAlignment="1">
      <alignment horizontal="center" vertical="top"/>
    </xf>
    <xf numFmtId="0" fontId="0" fillId="0" borderId="0" xfId="0" applyNumberFormat="1" applyFont="1" applyFill="1" applyBorder="1" applyAlignment="1">
      <alignment horizontal="justify" vertical="top" wrapText="1"/>
    </xf>
    <xf numFmtId="0" fontId="0" fillId="0" borderId="0" xfId="0" applyFill="1"/>
    <xf numFmtId="0" fontId="0" fillId="0" borderId="0" xfId="0" applyNumberFormat="1" applyFont="1" applyFill="1" applyBorder="1" applyAlignment="1">
      <alignment horizontal="left" vertical="top" wrapText="1"/>
    </xf>
    <xf numFmtId="0" fontId="10" fillId="0" borderId="0" xfId="0" applyNumberFormat="1" applyFont="1" applyFill="1" applyAlignment="1">
      <alignment horizontal="center" vertical="top"/>
    </xf>
    <xf numFmtId="0" fontId="2" fillId="0" borderId="0" xfId="0" applyNumberFormat="1" applyFont="1" applyFill="1" applyBorder="1" applyAlignment="1">
      <alignment horizontal="justify" vertical="center" wrapText="1"/>
    </xf>
    <xf numFmtId="4" fontId="13" fillId="0" borderId="0" xfId="0" applyNumberFormat="1" applyFont="1" applyFill="1" applyBorder="1" applyAlignment="1">
      <alignment horizontal="right"/>
    </xf>
    <xf numFmtId="4" fontId="13" fillId="0" borderId="0" xfId="0" applyNumberFormat="1" applyFont="1" applyFill="1" applyAlignment="1">
      <alignment horizontal="right"/>
    </xf>
    <xf numFmtId="0" fontId="0"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justify" vertical="center" wrapText="1"/>
    </xf>
    <xf numFmtId="0" fontId="14"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8" fillId="0" borderId="0" xfId="0" applyFont="1" applyFill="1" applyAlignment="1">
      <alignment horizontal="center" vertical="top"/>
    </xf>
    <xf numFmtId="0" fontId="8" fillId="0" borderId="0" xfId="0" applyFont="1" applyBorder="1" applyAlignment="1">
      <alignment horizontal="left" vertical="center" wrapText="1"/>
    </xf>
    <xf numFmtId="4" fontId="10" fillId="0" borderId="0" xfId="0" applyNumberFormat="1" applyFont="1" applyAlignment="1">
      <alignment horizontal="right"/>
    </xf>
    <xf numFmtId="0" fontId="8" fillId="0" borderId="0" xfId="0" applyFont="1" applyAlignment="1">
      <alignment horizontal="left" vertical="center" wrapText="1"/>
    </xf>
    <xf numFmtId="0" fontId="0" fillId="0" borderId="0" xfId="0" applyFont="1" applyFill="1" applyAlignment="1">
      <alignment horizontal="center" vertical="top"/>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justify" vertical="center" wrapText="1"/>
    </xf>
    <xf numFmtId="0" fontId="0" fillId="0" borderId="0" xfId="0" applyFont="1" applyAlignment="1">
      <alignment wrapText="1"/>
    </xf>
    <xf numFmtId="0" fontId="2" fillId="0" borderId="0" xfId="0" applyFont="1" applyFill="1" applyAlignment="1">
      <alignment horizontal="justify" vertical="center" wrapText="1"/>
    </xf>
    <xf numFmtId="0" fontId="2" fillId="0" borderId="0" xfId="0" applyFont="1" applyFill="1" applyAlignment="1">
      <alignment horizontal="left" vertical="center" wrapText="1"/>
    </xf>
    <xf numFmtId="4" fontId="0" fillId="0" borderId="0" xfId="0" applyNumberFormat="1" applyFill="1" applyAlignment="1">
      <alignment horizontal="right"/>
    </xf>
    <xf numFmtId="4" fontId="13" fillId="0" borderId="0" xfId="0" applyNumberFormat="1" applyFont="1" applyAlignment="1">
      <alignment horizontal="right"/>
    </xf>
    <xf numFmtId="4" fontId="5" fillId="0" borderId="0" xfId="0" applyNumberFormat="1" applyFont="1" applyAlignment="1">
      <alignment horizontal="right"/>
    </xf>
    <xf numFmtId="0" fontId="0" fillId="0" borderId="0" xfId="0" applyFont="1" applyFill="1" applyAlignment="1">
      <alignment horizontal="center"/>
    </xf>
    <xf numFmtId="4" fontId="0" fillId="0" borderId="0" xfId="0" applyNumberFormat="1" applyFont="1" applyFill="1" applyAlignment="1">
      <alignment horizontal="center"/>
    </xf>
    <xf numFmtId="0" fontId="0" fillId="0" borderId="0" xfId="0" applyFont="1" applyFill="1" applyAlignment="1">
      <alignment horizontal="left" vertical="center" wrapText="1"/>
    </xf>
    <xf numFmtId="0" fontId="0" fillId="0" borderId="0" xfId="0" applyFont="1" applyFill="1"/>
    <xf numFmtId="0" fontId="12" fillId="0" borderId="0" xfId="0" applyFont="1"/>
    <xf numFmtId="0" fontId="7" fillId="0" borderId="0" xfId="0" applyFont="1" applyFill="1" applyAlignment="1">
      <alignment horizontal="center" vertical="top"/>
    </xf>
    <xf numFmtId="0" fontId="7" fillId="0" borderId="0" xfId="0" applyFont="1" applyFill="1" applyAlignment="1">
      <alignment horizontal="left" vertical="center" wrapText="1"/>
    </xf>
    <xf numFmtId="0" fontId="0" fillId="0" borderId="0" xfId="0" applyFont="1" applyFill="1" applyAlignment="1">
      <alignment wrapText="1"/>
    </xf>
    <xf numFmtId="9" fontId="0" fillId="0" borderId="0" xfId="2" applyFont="1" applyFill="1" applyBorder="1" applyAlignment="1" applyProtection="1">
      <alignment horizontal="justify" vertical="center" wrapText="1"/>
    </xf>
    <xf numFmtId="0" fontId="16" fillId="0" borderId="0" xfId="0" applyFont="1" applyFill="1" applyAlignment="1">
      <alignment horizontal="justify" vertical="center" wrapText="1"/>
    </xf>
    <xf numFmtId="0" fontId="16" fillId="0" borderId="0" xfId="0" applyFont="1" applyAlignment="1">
      <alignment horizontal="justify" vertical="center" wrapText="1"/>
    </xf>
    <xf numFmtId="0" fontId="16" fillId="0" borderId="0" xfId="0" applyFont="1" applyAlignment="1">
      <alignment horizontal="left" vertical="center" wrapText="1"/>
    </xf>
    <xf numFmtId="0" fontId="10" fillId="0" borderId="0" xfId="0" applyFont="1" applyAlignment="1"/>
    <xf numFmtId="0" fontId="0" fillId="0" borderId="0" xfId="0" applyFont="1" applyFill="1" applyAlignment="1">
      <alignment horizontal="justify" wrapText="1"/>
    </xf>
    <xf numFmtId="0" fontId="16" fillId="0" borderId="0" xfId="0" applyFont="1"/>
    <xf numFmtId="0" fontId="0" fillId="0" borderId="0" xfId="0" applyFont="1" applyAlignment="1">
      <alignment horizontal="justify" vertical="center" wrapText="1"/>
    </xf>
    <xf numFmtId="0" fontId="2" fillId="0" borderId="0" xfId="0" applyFont="1" applyAlignment="1">
      <alignment horizontal="left" vertical="center" wrapText="1"/>
    </xf>
    <xf numFmtId="4" fontId="8" fillId="0" borderId="0" xfId="0" applyNumberFormat="1" applyFont="1" applyAlignment="1">
      <alignment horizontal="right"/>
    </xf>
    <xf numFmtId="4" fontId="0" fillId="0" borderId="0" xfId="0" applyNumberFormat="1" applyFont="1" applyAlignment="1"/>
    <xf numFmtId="0" fontId="2" fillId="0" borderId="0" xfId="0" applyFont="1" applyAlignment="1">
      <alignment horizontal="justify" vertical="center" wrapText="1"/>
    </xf>
    <xf numFmtId="0" fontId="12"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Fill="1" applyAlignment="1">
      <alignment horizontal="justify" vertical="top" wrapText="1"/>
    </xf>
    <xf numFmtId="0" fontId="16" fillId="0" borderId="0" xfId="0" applyFont="1" applyFill="1" applyAlignment="1">
      <alignment horizontal="left" vertical="center" wrapText="1"/>
    </xf>
    <xf numFmtId="0" fontId="0" fillId="0" borderId="0" xfId="0" applyFont="1" applyFill="1" applyAlignment="1">
      <alignment horizontal="left" vertical="top" wrapText="1"/>
    </xf>
    <xf numFmtId="0" fontId="8" fillId="0" borderId="0" xfId="0" applyFont="1" applyBorder="1" applyAlignment="1">
      <alignment horizontal="right" vertical="center" wrapText="1"/>
    </xf>
    <xf numFmtId="0" fontId="16" fillId="0" borderId="0" xfId="0" applyFont="1" applyFill="1"/>
    <xf numFmtId="4" fontId="5" fillId="0" borderId="0" xfId="0" applyNumberFormat="1" applyFont="1" applyFill="1" applyAlignment="1">
      <alignment horizontal="right"/>
    </xf>
    <xf numFmtId="0" fontId="7" fillId="0" borderId="0" xfId="0" applyFont="1" applyAlignment="1">
      <alignment horizontal="left" vertical="center" wrapText="1"/>
    </xf>
    <xf numFmtId="0" fontId="18" fillId="0" borderId="0" xfId="0" applyNumberFormat="1" applyFont="1" applyFill="1" applyBorder="1" applyAlignment="1">
      <alignment horizontal="justify" vertical="top" wrapText="1"/>
    </xf>
    <xf numFmtId="0" fontId="21" fillId="0" borderId="0" xfId="0" applyNumberFormat="1" applyFont="1" applyFill="1" applyBorder="1" applyAlignment="1">
      <alignment horizontal="center" wrapText="1"/>
    </xf>
    <xf numFmtId="0" fontId="10" fillId="0" borderId="0" xfId="0" applyFont="1" applyFill="1" applyAlignment="1">
      <alignment horizontal="center" vertical="top" wrapText="1" shrinkToFit="1"/>
    </xf>
    <xf numFmtId="0" fontId="13" fillId="0" borderId="0" xfId="0" applyFont="1" applyAlignment="1">
      <alignment horizontal="justify" vertical="center" wrapText="1" shrinkToFit="1"/>
    </xf>
    <xf numFmtId="0" fontId="0" fillId="0" borderId="0" xfId="0" applyFont="1" applyAlignment="1">
      <alignment vertical="top" wrapText="1"/>
    </xf>
    <xf numFmtId="166" fontId="0" fillId="0" borderId="0" xfId="0" applyNumberFormat="1" applyFont="1" applyFill="1"/>
    <xf numFmtId="0" fontId="8" fillId="0" borderId="0" xfId="0" applyFont="1" applyFill="1" applyBorder="1" applyAlignment="1">
      <alignment horizontal="left" vertical="center" wrapText="1"/>
    </xf>
    <xf numFmtId="0" fontId="7" fillId="0" borderId="0" xfId="0" applyNumberFormat="1" applyFont="1" applyFill="1" applyAlignment="1">
      <alignment horizontal="center" vertical="top"/>
    </xf>
    <xf numFmtId="4" fontId="10" fillId="0" borderId="0" xfId="0" applyNumberFormat="1" applyFont="1" applyFill="1" applyAlignment="1">
      <alignment horizontal="right"/>
    </xf>
    <xf numFmtId="0" fontId="0" fillId="0" borderId="0" xfId="0" applyNumberFormat="1" applyFont="1" applyFill="1"/>
    <xf numFmtId="0" fontId="0" fillId="0" borderId="0" xfId="0" applyFont="1" applyFill="1" applyAlignment="1">
      <alignment vertical="top" wrapText="1"/>
    </xf>
    <xf numFmtId="0" fontId="7" fillId="0" borderId="0" xfId="0" applyFont="1" applyFill="1" applyAlignment="1">
      <alignment horizontal="center"/>
    </xf>
    <xf numFmtId="4" fontId="7" fillId="0" borderId="0" xfId="0" applyNumberFormat="1" applyFont="1" applyFill="1" applyAlignment="1">
      <alignment horizontal="center"/>
    </xf>
    <xf numFmtId="166" fontId="7" fillId="0" borderId="0" xfId="0" applyNumberFormat="1" applyFont="1" applyFill="1"/>
    <xf numFmtId="0" fontId="0" fillId="0" borderId="0" xfId="0" applyNumberFormat="1" applyFont="1" applyFill="1" applyAlignment="1">
      <alignment horizontal="center" vertical="top" wrapText="1"/>
    </xf>
    <xf numFmtId="0" fontId="0" fillId="0" borderId="0" xfId="0" applyNumberFormat="1"/>
    <xf numFmtId="4" fontId="7" fillId="0" borderId="0" xfId="0" applyNumberFormat="1" applyFont="1" applyAlignment="1">
      <alignment horizontal="right"/>
    </xf>
    <xf numFmtId="0" fontId="7" fillId="0" borderId="0" xfId="0" applyFont="1"/>
    <xf numFmtId="0" fontId="8"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Font="1" applyBorder="1" applyAlignment="1">
      <alignment horizontal="center"/>
    </xf>
    <xf numFmtId="0" fontId="8" fillId="0" borderId="0" xfId="0" applyFont="1" applyBorder="1" applyAlignment="1">
      <alignment horizontal="left" vertical="center" wrapText="1"/>
    </xf>
    <xf numFmtId="0" fontId="8" fillId="0" borderId="0" xfId="0" applyFont="1" applyBorder="1" applyAlignment="1">
      <alignment horizontal="left"/>
    </xf>
    <xf numFmtId="0" fontId="8" fillId="0" borderId="0" xfId="0" applyFont="1" applyBorder="1" applyAlignment="1">
      <alignment vertical="center" wrapText="1"/>
    </xf>
  </cellXfs>
  <cellStyles count="3">
    <cellStyle name="Normal" xfId="0" builtinId="0"/>
    <cellStyle name="Normal_Trpinjska specifikacija namještaja" xfId="1"/>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2222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view="pageBreakPreview" topLeftCell="A8" zoomScaleSheetLayoutView="100" workbookViewId="0">
      <selection activeCell="E26" sqref="E26"/>
    </sheetView>
  </sheetViews>
  <sheetFormatPr defaultRowHeight="12.75"/>
  <cols>
    <col min="4" max="4" width="13" customWidth="1"/>
    <col min="5" max="5" width="47.85546875" customWidth="1"/>
    <col min="6" max="6" width="20.28515625" customWidth="1"/>
  </cols>
  <sheetData>
    <row r="1" spans="2:8">
      <c r="B1" s="1"/>
      <c r="C1" s="1"/>
      <c r="D1" s="1"/>
      <c r="E1" s="1"/>
      <c r="F1" s="2"/>
      <c r="G1" s="2"/>
      <c r="H1" s="1"/>
    </row>
    <row r="2" spans="2:8">
      <c r="B2" s="1"/>
      <c r="C2" s="1"/>
      <c r="D2" s="1"/>
      <c r="E2" s="1"/>
      <c r="F2" s="2"/>
      <c r="G2" s="2"/>
      <c r="H2" s="1"/>
    </row>
    <row r="3" spans="2:8">
      <c r="B3" s="1"/>
      <c r="C3" s="1"/>
      <c r="D3" s="1"/>
      <c r="E3" s="1"/>
      <c r="F3" s="2"/>
      <c r="G3" s="2"/>
      <c r="H3" s="1"/>
    </row>
    <row r="4" spans="2:8">
      <c r="B4" s="1"/>
      <c r="C4" s="1"/>
      <c r="D4" s="1"/>
      <c r="E4" s="1"/>
      <c r="F4" s="2"/>
      <c r="G4" s="2"/>
      <c r="H4" s="1"/>
    </row>
    <row r="5" spans="2:8">
      <c r="B5" s="1"/>
      <c r="C5" s="1"/>
      <c r="D5" s="1"/>
      <c r="E5" s="1"/>
      <c r="F5" s="2"/>
      <c r="G5" s="2"/>
      <c r="H5" s="1"/>
    </row>
    <row r="6" spans="2:8">
      <c r="B6" s="1"/>
      <c r="C6" s="1"/>
      <c r="D6" s="1"/>
      <c r="E6" s="1"/>
      <c r="F6" s="2"/>
      <c r="G6" s="2"/>
      <c r="H6" s="1"/>
    </row>
    <row r="7" spans="2:8">
      <c r="B7" s="1"/>
      <c r="C7" s="1"/>
      <c r="D7" s="1"/>
      <c r="E7" s="1"/>
      <c r="F7" s="2"/>
      <c r="G7" s="2"/>
      <c r="H7" s="1"/>
    </row>
    <row r="8" spans="2:8">
      <c r="B8" s="1"/>
      <c r="C8" s="1"/>
      <c r="D8" s="1"/>
      <c r="E8" s="1"/>
      <c r="F8" s="2"/>
      <c r="G8" s="2"/>
      <c r="H8" s="1"/>
    </row>
    <row r="9" spans="2:8">
      <c r="B9" s="1"/>
      <c r="C9" s="1"/>
      <c r="D9" s="1"/>
      <c r="E9" s="1"/>
      <c r="F9" s="2"/>
      <c r="G9" s="2"/>
      <c r="H9" s="1"/>
    </row>
    <row r="10" spans="2:8">
      <c r="B10" s="1"/>
      <c r="C10" s="1"/>
      <c r="D10" s="1"/>
      <c r="E10" s="1"/>
      <c r="F10" s="2"/>
      <c r="G10" s="2"/>
      <c r="H10" s="1"/>
    </row>
    <row r="11" spans="2:8">
      <c r="B11" s="1"/>
      <c r="C11" s="1"/>
      <c r="D11" s="1"/>
      <c r="E11" s="1"/>
      <c r="F11" s="2"/>
      <c r="G11" s="2"/>
      <c r="H11" s="1"/>
    </row>
    <row r="12" spans="2:8">
      <c r="B12" s="1"/>
      <c r="C12" s="3" t="s">
        <v>0</v>
      </c>
      <c r="D12" s="1"/>
      <c r="E12" s="4" t="s">
        <v>1</v>
      </c>
      <c r="F12" s="2"/>
      <c r="G12" s="2"/>
      <c r="H12" s="1"/>
    </row>
    <row r="13" spans="2:8">
      <c r="B13" s="1"/>
      <c r="C13" s="1"/>
      <c r="D13" s="1"/>
      <c r="E13" s="1" t="s">
        <v>2</v>
      </c>
      <c r="F13" s="2"/>
      <c r="G13" s="2"/>
      <c r="H13" s="1"/>
    </row>
    <row r="14" spans="2:8">
      <c r="B14" s="1"/>
      <c r="C14" s="1"/>
      <c r="D14" s="1"/>
      <c r="E14" s="1" t="s">
        <v>3</v>
      </c>
      <c r="F14" s="2"/>
      <c r="G14" s="2"/>
      <c r="H14" s="1"/>
    </row>
    <row r="15" spans="2:8">
      <c r="B15" s="1"/>
      <c r="C15" s="1"/>
      <c r="D15" s="1"/>
      <c r="E15" s="1"/>
      <c r="F15" s="2"/>
      <c r="G15" s="2"/>
      <c r="H15" s="1"/>
    </row>
    <row r="16" spans="2:8">
      <c r="B16" s="1"/>
      <c r="C16" s="1"/>
      <c r="D16" s="1"/>
      <c r="E16" s="1"/>
      <c r="F16" s="2"/>
      <c r="G16" s="2"/>
      <c r="H16" s="1"/>
    </row>
    <row r="17" spans="2:8">
      <c r="B17" s="1"/>
      <c r="C17" s="3" t="s">
        <v>4</v>
      </c>
      <c r="D17" s="1"/>
      <c r="E17" s="1" t="s">
        <v>5</v>
      </c>
      <c r="F17" s="5"/>
      <c r="G17" s="2"/>
      <c r="H17" s="1"/>
    </row>
    <row r="18" spans="2:8">
      <c r="B18" s="1"/>
      <c r="C18" s="3"/>
      <c r="D18" s="1"/>
      <c r="E18" s="4" t="s">
        <v>6</v>
      </c>
      <c r="F18" s="2"/>
      <c r="G18" s="2"/>
      <c r="H18" s="1"/>
    </row>
    <row r="19" spans="2:8">
      <c r="B19" s="1"/>
      <c r="C19" s="3"/>
      <c r="D19" s="1"/>
      <c r="E19" s="4" t="s">
        <v>7</v>
      </c>
      <c r="F19" s="2"/>
      <c r="G19" s="2"/>
      <c r="H19" s="1"/>
    </row>
    <row r="20" spans="2:8">
      <c r="B20" s="1"/>
      <c r="C20" s="3"/>
      <c r="D20" s="1"/>
      <c r="E20" s="4" t="s">
        <v>8</v>
      </c>
      <c r="F20" s="2"/>
      <c r="G20" s="2"/>
      <c r="H20" s="1"/>
    </row>
    <row r="21" spans="2:8">
      <c r="B21" s="1"/>
      <c r="C21" s="3"/>
      <c r="D21" s="1"/>
      <c r="E21" s="1"/>
      <c r="F21" s="2"/>
      <c r="G21" s="2"/>
      <c r="H21" s="1"/>
    </row>
    <row r="22" spans="2:8">
      <c r="B22" s="1"/>
      <c r="C22" s="3"/>
      <c r="D22" s="1"/>
      <c r="E22" s="1"/>
      <c r="F22" s="2"/>
      <c r="G22" s="2"/>
      <c r="H22" s="1"/>
    </row>
    <row r="23" spans="2:8">
      <c r="B23" s="1"/>
      <c r="C23" s="3" t="s">
        <v>9</v>
      </c>
      <c r="D23" s="1"/>
      <c r="E23" s="1" t="s">
        <v>10</v>
      </c>
      <c r="F23" s="2"/>
      <c r="G23" s="2"/>
      <c r="H23" s="1"/>
    </row>
    <row r="24" spans="2:8">
      <c r="B24" s="1"/>
      <c r="C24" s="3"/>
      <c r="D24" s="1"/>
      <c r="E24" s="1"/>
      <c r="F24" s="2"/>
      <c r="G24" s="2"/>
      <c r="H24" s="1"/>
    </row>
    <row r="25" spans="2:8">
      <c r="B25" s="1"/>
      <c r="C25" s="3"/>
      <c r="D25" s="1"/>
      <c r="E25" s="1"/>
      <c r="F25" s="2"/>
      <c r="G25" s="2"/>
      <c r="H25" s="1"/>
    </row>
    <row r="26" spans="2:8">
      <c r="B26" s="1"/>
      <c r="C26" s="3"/>
      <c r="D26" s="1"/>
      <c r="E26" s="1"/>
      <c r="F26" s="2"/>
      <c r="G26" s="2"/>
      <c r="H26" s="1"/>
    </row>
    <row r="27" spans="2:8">
      <c r="B27" s="1"/>
      <c r="C27" s="3" t="s">
        <v>11</v>
      </c>
      <c r="D27" s="1"/>
      <c r="E27" s="1" t="s">
        <v>12</v>
      </c>
      <c r="F27" s="2"/>
      <c r="G27" s="2"/>
      <c r="H27" s="1"/>
    </row>
    <row r="28" spans="2:8">
      <c r="B28" s="1"/>
      <c r="C28" s="3"/>
      <c r="D28" s="1"/>
      <c r="E28" s="1"/>
      <c r="F28" s="2"/>
      <c r="G28" s="2"/>
      <c r="H28" s="1"/>
    </row>
    <row r="29" spans="2:8">
      <c r="B29" s="1"/>
      <c r="C29" s="3"/>
      <c r="D29" s="1"/>
      <c r="E29" s="1"/>
      <c r="F29" s="2"/>
      <c r="G29" s="2"/>
      <c r="H29" s="1"/>
    </row>
    <row r="30" spans="2:8">
      <c r="B30" s="1"/>
      <c r="C30" s="3"/>
      <c r="D30" s="1"/>
      <c r="E30" s="1"/>
      <c r="F30" s="2"/>
      <c r="G30" s="2"/>
      <c r="H30" s="1"/>
    </row>
    <row r="31" spans="2:8">
      <c r="B31" s="1"/>
      <c r="C31" s="3" t="s">
        <v>13</v>
      </c>
      <c r="D31" s="1"/>
      <c r="E31" s="4" t="s">
        <v>14</v>
      </c>
      <c r="F31" s="6"/>
      <c r="G31" s="2"/>
      <c r="H31" s="1"/>
    </row>
    <row r="32" spans="2:8">
      <c r="B32" s="1"/>
      <c r="C32" s="3"/>
      <c r="D32" s="1"/>
      <c r="E32" s="1"/>
      <c r="F32" s="2"/>
      <c r="G32" s="2"/>
      <c r="H32" s="1"/>
    </row>
    <row r="33" spans="2:8">
      <c r="B33" s="1"/>
      <c r="C33" s="3"/>
      <c r="D33" s="1"/>
      <c r="E33" s="1"/>
      <c r="F33" s="2"/>
      <c r="G33" s="2"/>
      <c r="H33" s="1"/>
    </row>
    <row r="34" spans="2:8">
      <c r="B34" s="1"/>
      <c r="C34" s="3"/>
      <c r="D34" s="1"/>
      <c r="E34" s="1"/>
      <c r="F34" s="2"/>
      <c r="G34" s="2"/>
      <c r="H34" s="1"/>
    </row>
    <row r="35" spans="2:8">
      <c r="B35" s="1"/>
      <c r="C35" s="3" t="s">
        <v>15</v>
      </c>
      <c r="D35" s="1"/>
      <c r="E35" s="1" t="s">
        <v>16</v>
      </c>
      <c r="F35" s="2"/>
      <c r="G35" s="2"/>
      <c r="H35" s="1"/>
    </row>
    <row r="36" spans="2:8">
      <c r="B36" s="1"/>
      <c r="C36" s="3"/>
      <c r="D36" s="1"/>
      <c r="E36" s="1"/>
      <c r="F36" s="2"/>
      <c r="G36" s="2"/>
      <c r="H36" s="1"/>
    </row>
    <row r="37" spans="2:8">
      <c r="B37" s="1"/>
      <c r="C37" s="3" t="s">
        <v>17</v>
      </c>
      <c r="D37" s="1"/>
      <c r="E37" s="1" t="s">
        <v>16</v>
      </c>
      <c r="F37" s="2"/>
      <c r="G37" s="2"/>
      <c r="H37" s="1"/>
    </row>
    <row r="38" spans="2:8">
      <c r="B38" s="1"/>
      <c r="C38" s="3"/>
      <c r="D38" s="1"/>
      <c r="E38" s="1"/>
      <c r="F38" s="2"/>
      <c r="G38" s="2"/>
      <c r="H38" s="1"/>
    </row>
    <row r="39" spans="2:8">
      <c r="B39" s="1"/>
      <c r="C39" s="3" t="s">
        <v>18</v>
      </c>
      <c r="D39" s="1"/>
      <c r="E39" s="1" t="s">
        <v>19</v>
      </c>
      <c r="F39" s="2"/>
      <c r="G39" s="2"/>
      <c r="H39" s="1"/>
    </row>
    <row r="40" spans="2:8">
      <c r="B40" s="1"/>
      <c r="C40" s="1"/>
      <c r="D40" s="1"/>
      <c r="E40" s="1"/>
      <c r="F40" s="2"/>
      <c r="G40" s="2"/>
      <c r="H40" s="1"/>
    </row>
    <row r="41" spans="2:8">
      <c r="B41" s="1"/>
      <c r="C41" s="1"/>
      <c r="D41" s="1"/>
      <c r="E41" s="1"/>
      <c r="F41" s="2"/>
      <c r="G41" s="2"/>
      <c r="H41" s="1"/>
    </row>
    <row r="42" spans="2:8">
      <c r="B42" s="1"/>
      <c r="C42" s="1"/>
      <c r="D42" s="1"/>
      <c r="E42" s="1"/>
      <c r="F42" s="2"/>
      <c r="G42" s="2"/>
      <c r="H42" s="1"/>
    </row>
    <row r="43" spans="2:8">
      <c r="B43" s="1"/>
      <c r="C43" s="1"/>
      <c r="D43" s="1"/>
      <c r="E43" s="1"/>
      <c r="F43" s="2"/>
      <c r="G43" s="2"/>
      <c r="H43" s="1"/>
    </row>
    <row r="44" spans="2:8">
      <c r="B44" s="1"/>
      <c r="C44" s="1"/>
      <c r="D44" s="1"/>
      <c r="E44" s="1"/>
      <c r="F44" s="2"/>
      <c r="G44" s="2"/>
      <c r="H44" s="1"/>
    </row>
    <row r="45" spans="2:8">
      <c r="B45" s="1"/>
      <c r="C45" s="1"/>
      <c r="D45" s="1"/>
      <c r="E45" s="1"/>
      <c r="F45" s="2"/>
      <c r="G45" s="2"/>
      <c r="H45" s="1"/>
    </row>
    <row r="46" spans="2:8">
      <c r="B46" s="1"/>
      <c r="C46" s="1"/>
      <c r="D46" s="1"/>
      <c r="E46" s="1"/>
      <c r="F46" s="2"/>
      <c r="G46" s="2"/>
      <c r="H46" s="1"/>
    </row>
    <row r="47" spans="2:8">
      <c r="B47" s="1"/>
      <c r="C47" s="1"/>
      <c r="D47" s="1"/>
      <c r="E47" s="1"/>
      <c r="F47" s="2"/>
      <c r="G47" s="2"/>
      <c r="H47" s="1"/>
    </row>
    <row r="48" spans="2:8">
      <c r="B48" s="1"/>
      <c r="C48" s="1"/>
      <c r="D48" s="1"/>
      <c r="E48" s="1"/>
      <c r="F48" s="2"/>
      <c r="G48" s="2"/>
      <c r="H48" s="1"/>
    </row>
    <row r="49" spans="2:8">
      <c r="B49" s="1"/>
      <c r="C49" s="1"/>
      <c r="D49" s="1"/>
      <c r="E49" s="1"/>
      <c r="F49" s="2"/>
      <c r="G49" s="2"/>
      <c r="H49" s="1"/>
    </row>
    <row r="50" spans="2:8">
      <c r="B50" s="1"/>
      <c r="C50" s="1"/>
      <c r="D50" s="1"/>
      <c r="E50" s="1"/>
      <c r="F50" s="2"/>
      <c r="G50" s="2"/>
      <c r="H50" s="1"/>
    </row>
    <row r="51" spans="2:8">
      <c r="B51" s="1"/>
      <c r="C51" s="1"/>
      <c r="D51" s="1"/>
      <c r="E51" s="1"/>
      <c r="F51" s="2"/>
      <c r="G51" s="2"/>
      <c r="H51" s="1"/>
    </row>
    <row r="52" spans="2:8">
      <c r="B52" s="1"/>
      <c r="C52" s="1"/>
      <c r="D52" s="1"/>
      <c r="E52" s="1"/>
      <c r="F52" s="2"/>
      <c r="G52" s="2"/>
      <c r="H52" s="1"/>
    </row>
    <row r="53" spans="2:8">
      <c r="B53" s="1"/>
      <c r="C53" s="1"/>
      <c r="D53" s="1"/>
      <c r="E53" s="1"/>
      <c r="F53" s="2"/>
      <c r="G53" s="2"/>
      <c r="H53" s="1"/>
    </row>
    <row r="54" spans="2:8">
      <c r="B54" s="1"/>
      <c r="C54" s="1"/>
      <c r="D54" s="1"/>
      <c r="E54" s="1"/>
      <c r="F54" s="2"/>
      <c r="G54" s="2"/>
      <c r="H54" s="1"/>
    </row>
    <row r="55" spans="2:8">
      <c r="B55" s="1"/>
      <c r="C55" s="1"/>
      <c r="D55" s="1"/>
      <c r="E55" s="1"/>
      <c r="F55" s="2"/>
      <c r="G55" s="2"/>
      <c r="H55" s="1"/>
    </row>
    <row r="56" spans="2:8">
      <c r="B56" s="1"/>
      <c r="C56" s="1"/>
      <c r="D56" s="1"/>
      <c r="E56" s="1"/>
      <c r="F56" s="2"/>
      <c r="G56" s="2"/>
      <c r="H56" s="1"/>
    </row>
    <row r="57" spans="2:8">
      <c r="B57" s="1"/>
      <c r="C57" s="1" t="s">
        <v>20</v>
      </c>
      <c r="D57" s="1"/>
      <c r="E57" s="7" t="s">
        <v>21</v>
      </c>
      <c r="F57" s="2" t="s">
        <v>22</v>
      </c>
      <c r="H57" s="1"/>
    </row>
    <row r="58" spans="2:8">
      <c r="B58" s="1"/>
      <c r="C58" s="1"/>
      <c r="D58" s="1"/>
      <c r="E58" s="1"/>
      <c r="F58" s="2"/>
      <c r="G58" s="2"/>
      <c r="H58" s="1"/>
    </row>
    <row r="59" spans="2:8">
      <c r="B59" s="1"/>
      <c r="C59" s="1"/>
      <c r="D59" s="1"/>
      <c r="E59" s="1"/>
      <c r="F59" s="2"/>
      <c r="G59" s="2"/>
      <c r="H59" s="1"/>
    </row>
    <row r="60" spans="2:8">
      <c r="B60" s="1"/>
      <c r="C60" s="1"/>
      <c r="D60" s="1"/>
      <c r="E60" s="1"/>
      <c r="F60" s="2"/>
      <c r="G60" s="2"/>
      <c r="H60" s="1"/>
    </row>
    <row r="61" spans="2:8">
      <c r="B61" s="1"/>
      <c r="C61" s="1"/>
      <c r="D61" s="1"/>
      <c r="E61" s="1"/>
      <c r="F61" s="2"/>
      <c r="G61" s="2"/>
      <c r="H61" s="1"/>
    </row>
    <row r="62" spans="2:8">
      <c r="B62" s="1"/>
      <c r="C62" s="1"/>
      <c r="D62" s="1"/>
      <c r="E62" s="1"/>
      <c r="F62" s="2"/>
      <c r="G62" s="2"/>
      <c r="H62" s="1"/>
    </row>
    <row r="63" spans="2:8">
      <c r="B63" s="1"/>
      <c r="C63" s="1"/>
      <c r="D63" s="1"/>
      <c r="E63" s="1"/>
      <c r="F63" s="2"/>
      <c r="G63" s="2"/>
      <c r="H63" s="1"/>
    </row>
    <row r="64" spans="2:8">
      <c r="B64" s="1"/>
      <c r="C64" s="1"/>
      <c r="D64" s="1"/>
      <c r="E64" s="1"/>
      <c r="F64" s="2"/>
      <c r="G64" s="2"/>
      <c r="H64" s="1"/>
    </row>
    <row r="65" spans="2:8">
      <c r="B65" s="1"/>
      <c r="C65" s="1"/>
      <c r="D65" s="1"/>
      <c r="E65" s="1"/>
      <c r="F65" s="2"/>
      <c r="G65" s="2"/>
      <c r="H65" s="1"/>
    </row>
    <row r="66" spans="2:8">
      <c r="B66" s="1"/>
      <c r="C66" s="1"/>
      <c r="D66" s="1"/>
      <c r="E66" s="1"/>
      <c r="F66" s="2"/>
      <c r="G66" s="2"/>
      <c r="H66" s="1"/>
    </row>
    <row r="67" spans="2:8">
      <c r="B67" s="1"/>
      <c r="C67" s="1"/>
      <c r="D67" s="1"/>
      <c r="E67" s="1"/>
      <c r="F67" s="2"/>
      <c r="G67" s="2"/>
      <c r="H67" s="1"/>
    </row>
    <row r="68" spans="2:8">
      <c r="B68" s="1"/>
      <c r="C68" s="1"/>
      <c r="D68" s="1"/>
      <c r="E68" s="1"/>
      <c r="F68" s="2"/>
      <c r="G68" s="2"/>
      <c r="H68" s="1"/>
    </row>
    <row r="69" spans="2:8">
      <c r="B69" s="1"/>
      <c r="C69" s="1"/>
      <c r="D69" s="8" t="s">
        <v>23</v>
      </c>
      <c r="E69" s="9"/>
      <c r="F69" s="10"/>
      <c r="G69" s="2"/>
      <c r="H69" s="1"/>
    </row>
    <row r="70" spans="2:8">
      <c r="B70" s="11"/>
      <c r="C70" s="11"/>
      <c r="D70" s="12"/>
      <c r="E70" s="13"/>
      <c r="F70" s="7"/>
      <c r="G70" s="14"/>
      <c r="H70" s="15"/>
    </row>
    <row r="71" spans="2:8">
      <c r="B71" s="16"/>
      <c r="C71" s="17"/>
      <c r="D71" s="12"/>
      <c r="E71" s="13"/>
      <c r="F71" s="7"/>
      <c r="G71" s="18"/>
      <c r="H71" s="19"/>
    </row>
    <row r="72" spans="2:8">
      <c r="B72" s="16"/>
      <c r="C72" s="20"/>
      <c r="D72" s="21" t="s">
        <v>24</v>
      </c>
      <c r="E72" s="21"/>
      <c r="F72" s="22"/>
      <c r="G72" s="23"/>
      <c r="H72" s="24"/>
    </row>
    <row r="73" spans="2:8">
      <c r="B73" s="16"/>
      <c r="C73" s="20"/>
      <c r="E73" s="21"/>
      <c r="F73" s="22"/>
      <c r="G73" s="23"/>
      <c r="H73" s="24"/>
    </row>
    <row r="74" spans="2:8">
      <c r="B74" s="16"/>
      <c r="C74" s="21"/>
      <c r="D74" s="25" t="s">
        <v>25</v>
      </c>
      <c r="E74" s="26" t="s">
        <v>26</v>
      </c>
      <c r="F74" s="27">
        <f>TROSKOVNIK!F31</f>
        <v>0</v>
      </c>
      <c r="G74" s="28"/>
      <c r="H74" s="29"/>
    </row>
    <row r="75" spans="2:8">
      <c r="B75" s="16"/>
      <c r="C75" s="21"/>
      <c r="D75" s="25"/>
      <c r="E75" s="26"/>
      <c r="F75" s="27"/>
      <c r="G75" s="28"/>
      <c r="H75" s="29"/>
    </row>
    <row r="76" spans="2:8">
      <c r="B76" s="30"/>
      <c r="D76" s="31" t="s">
        <v>27</v>
      </c>
      <c r="E76" s="26" t="s">
        <v>28</v>
      </c>
      <c r="F76" s="27">
        <f>TROSKOVNIK!F62</f>
        <v>0</v>
      </c>
      <c r="G76" s="28"/>
      <c r="H76" s="29"/>
    </row>
    <row r="77" spans="2:8">
      <c r="B77" s="30"/>
      <c r="D77" s="31"/>
      <c r="E77" s="1"/>
      <c r="F77" s="2"/>
      <c r="G77" s="28"/>
      <c r="H77" s="29"/>
    </row>
    <row r="78" spans="2:8">
      <c r="B78" s="16"/>
      <c r="D78" s="31" t="s">
        <v>29</v>
      </c>
      <c r="E78" s="26" t="s">
        <v>30</v>
      </c>
      <c r="F78" s="27">
        <f>TROSKOVNIK!F85</f>
        <v>0</v>
      </c>
      <c r="G78" s="28"/>
      <c r="H78" s="29"/>
    </row>
    <row r="79" spans="2:8">
      <c r="B79" s="16"/>
      <c r="D79" s="31"/>
      <c r="E79" s="1"/>
      <c r="F79" s="2"/>
      <c r="G79" s="2"/>
      <c r="H79" s="29"/>
    </row>
    <row r="80" spans="2:8">
      <c r="B80" s="16"/>
      <c r="D80" s="31" t="s">
        <v>31</v>
      </c>
      <c r="E80" s="1" t="s">
        <v>32</v>
      </c>
      <c r="F80" s="2">
        <f>TROSKOVNIK!F94</f>
        <v>0</v>
      </c>
      <c r="G80" s="28"/>
      <c r="H80" s="29"/>
    </row>
    <row r="81" spans="1:8">
      <c r="B81" s="16"/>
      <c r="D81" s="31"/>
      <c r="E81" s="26"/>
      <c r="F81" s="27"/>
      <c r="G81" s="2"/>
      <c r="H81" s="29"/>
    </row>
    <row r="82" spans="1:8">
      <c r="B82" s="16"/>
      <c r="D82" s="31" t="s">
        <v>33</v>
      </c>
      <c r="E82" s="26" t="s">
        <v>34</v>
      </c>
      <c r="F82" s="27">
        <f>TROSKOVNIK!F110</f>
        <v>0</v>
      </c>
      <c r="G82" s="2"/>
      <c r="H82" s="29"/>
    </row>
    <row r="83" spans="1:8">
      <c r="B83" s="16"/>
      <c r="D83" s="31"/>
      <c r="E83" s="26"/>
      <c r="F83" s="27"/>
      <c r="G83" s="28"/>
      <c r="H83" s="29"/>
    </row>
    <row r="84" spans="1:8">
      <c r="B84" s="16"/>
      <c r="D84" s="31" t="s">
        <v>35</v>
      </c>
      <c r="E84" s="32" t="s">
        <v>36</v>
      </c>
      <c r="F84" s="33">
        <f>TROSKOVNIK!F135</f>
        <v>0</v>
      </c>
      <c r="G84" s="28"/>
      <c r="H84" s="29"/>
    </row>
    <row r="85" spans="1:8">
      <c r="B85" s="16"/>
      <c r="G85" s="28"/>
      <c r="H85" s="29"/>
    </row>
    <row r="86" spans="1:8">
      <c r="A86" s="4"/>
      <c r="B86" s="16"/>
      <c r="C86" s="4"/>
      <c r="D86" s="31" t="s">
        <v>37</v>
      </c>
      <c r="E86" s="32" t="s">
        <v>38</v>
      </c>
      <c r="F86" s="33">
        <f>TROSKOVNIK!F137</f>
        <v>0</v>
      </c>
      <c r="G86" s="34"/>
      <c r="H86" s="35"/>
    </row>
    <row r="87" spans="1:8">
      <c r="A87" s="4"/>
      <c r="B87" s="16"/>
      <c r="C87" s="4"/>
      <c r="D87" s="31"/>
      <c r="E87" s="32"/>
      <c r="F87" s="33"/>
      <c r="G87" s="34"/>
      <c r="H87" s="35"/>
    </row>
    <row r="88" spans="1:8">
      <c r="A88" s="4"/>
      <c r="B88" s="16"/>
      <c r="C88" s="4"/>
      <c r="D88" s="31"/>
      <c r="E88" s="32"/>
      <c r="F88" s="33"/>
      <c r="G88" s="34"/>
      <c r="H88" s="35"/>
    </row>
    <row r="89" spans="1:8">
      <c r="B89" s="16"/>
      <c r="C89" s="21"/>
      <c r="D89" s="21" t="s">
        <v>39</v>
      </c>
      <c r="E89" s="21"/>
      <c r="F89" s="22"/>
      <c r="G89" s="28"/>
      <c r="H89" s="29"/>
    </row>
    <row r="90" spans="1:8">
      <c r="A90" s="4"/>
      <c r="B90" s="16"/>
      <c r="C90" s="4"/>
      <c r="D90" s="31"/>
      <c r="E90" s="32"/>
      <c r="F90" s="33"/>
      <c r="G90" s="34"/>
      <c r="H90" s="35"/>
    </row>
    <row r="91" spans="1:8">
      <c r="A91" s="4"/>
      <c r="B91" s="16"/>
      <c r="C91" s="4"/>
      <c r="D91" s="31" t="s">
        <v>25</v>
      </c>
      <c r="E91" s="32" t="s">
        <v>40</v>
      </c>
      <c r="F91" s="33">
        <f>TROSKOVNIK!F164</f>
        <v>0</v>
      </c>
      <c r="G91" s="34"/>
      <c r="H91" s="35"/>
    </row>
    <row r="92" spans="1:8">
      <c r="A92" s="4"/>
      <c r="B92" s="16"/>
      <c r="C92" s="4"/>
      <c r="D92" s="31"/>
      <c r="E92" s="32"/>
      <c r="F92" s="33"/>
      <c r="G92" s="34"/>
      <c r="H92" s="35"/>
    </row>
    <row r="93" spans="1:8">
      <c r="A93" s="4"/>
      <c r="B93" s="16"/>
      <c r="C93" s="4"/>
      <c r="D93" s="31" t="s">
        <v>27</v>
      </c>
      <c r="E93" s="32" t="s">
        <v>41</v>
      </c>
      <c r="F93" s="33">
        <f>TROSKOVNIK!F183</f>
        <v>0</v>
      </c>
      <c r="G93" s="34"/>
      <c r="H93" s="35"/>
    </row>
    <row r="94" spans="1:8">
      <c r="A94" s="36"/>
      <c r="B94" s="37"/>
      <c r="C94" s="36"/>
      <c r="D94" s="38"/>
      <c r="E94" s="39"/>
      <c r="F94" s="40"/>
      <c r="G94" s="41"/>
      <c r="H94" s="42"/>
    </row>
    <row r="95" spans="1:8">
      <c r="A95" s="4"/>
      <c r="B95" s="16"/>
      <c r="C95" s="4"/>
      <c r="D95" s="31" t="s">
        <v>29</v>
      </c>
      <c r="E95" s="32" t="s">
        <v>42</v>
      </c>
      <c r="F95" s="33">
        <f>TROSKOVNIK!F193</f>
        <v>0</v>
      </c>
      <c r="G95" s="34"/>
      <c r="H95" s="35"/>
    </row>
    <row r="96" spans="1:8">
      <c r="A96" s="36"/>
      <c r="B96" s="37"/>
      <c r="C96" s="36"/>
      <c r="D96" s="38"/>
      <c r="E96" s="39"/>
      <c r="F96" s="40"/>
      <c r="G96" s="41"/>
      <c r="H96" s="42"/>
    </row>
    <row r="97" spans="1:8">
      <c r="A97" s="4"/>
      <c r="B97" s="16"/>
      <c r="C97" s="4"/>
      <c r="D97" s="31" t="s">
        <v>31</v>
      </c>
      <c r="E97" s="32" t="s">
        <v>43</v>
      </c>
      <c r="F97" s="33">
        <f>TROSKOVNIK!F218</f>
        <v>0</v>
      </c>
      <c r="G97" s="34"/>
      <c r="H97" s="35"/>
    </row>
    <row r="98" spans="1:8">
      <c r="A98" s="4"/>
      <c r="B98" s="16"/>
      <c r="C98" s="4"/>
      <c r="D98" s="31"/>
      <c r="E98" s="32"/>
      <c r="F98" s="33"/>
      <c r="G98" s="34"/>
      <c r="H98" s="35"/>
    </row>
    <row r="99" spans="1:8">
      <c r="A99" s="4"/>
      <c r="B99" s="16"/>
      <c r="C99" s="4"/>
      <c r="D99" s="31" t="s">
        <v>33</v>
      </c>
      <c r="E99" s="32" t="s">
        <v>44</v>
      </c>
      <c r="F99" s="33">
        <f>TROSKOVNIK!F227</f>
        <v>0</v>
      </c>
      <c r="G99" s="34"/>
      <c r="H99" s="35"/>
    </row>
    <row r="100" spans="1:8">
      <c r="A100" s="4"/>
      <c r="B100" s="16"/>
      <c r="C100" s="4"/>
      <c r="D100" s="31"/>
      <c r="E100" s="32"/>
      <c r="F100" s="33"/>
      <c r="G100" s="34"/>
      <c r="H100" s="35"/>
    </row>
    <row r="101" spans="1:8">
      <c r="A101" s="4"/>
      <c r="B101" s="16"/>
      <c r="C101" s="4"/>
      <c r="D101" s="31" t="s">
        <v>35</v>
      </c>
      <c r="E101" s="32" t="s">
        <v>45</v>
      </c>
      <c r="F101" s="33">
        <f>TROSKOVNIK!F236</f>
        <v>0</v>
      </c>
      <c r="G101" s="34"/>
      <c r="H101" s="35"/>
    </row>
    <row r="102" spans="1:8">
      <c r="A102" s="4"/>
      <c r="B102" s="16"/>
      <c r="C102" s="4"/>
      <c r="D102" s="31"/>
      <c r="E102" s="32"/>
      <c r="F102" s="33"/>
      <c r="G102" s="34"/>
      <c r="H102" s="35"/>
    </row>
    <row r="103" spans="1:8">
      <c r="A103" s="4"/>
      <c r="B103" s="16"/>
      <c r="C103" s="4"/>
      <c r="D103" s="31" t="s">
        <v>37</v>
      </c>
      <c r="E103" s="32" t="s">
        <v>46</v>
      </c>
      <c r="F103" s="33">
        <f>TROSKOVNIK!F263</f>
        <v>0</v>
      </c>
      <c r="G103" s="34"/>
      <c r="H103" s="35"/>
    </row>
    <row r="104" spans="1:8">
      <c r="A104" s="4"/>
      <c r="B104" s="16"/>
      <c r="C104" s="4"/>
      <c r="D104" s="43"/>
      <c r="E104" s="43"/>
      <c r="F104" s="44"/>
      <c r="G104" s="34"/>
      <c r="H104" s="35"/>
    </row>
    <row r="105" spans="1:8">
      <c r="A105" s="4"/>
      <c r="B105" s="16"/>
      <c r="C105" s="4"/>
      <c r="D105" s="45"/>
      <c r="E105" s="45"/>
      <c r="F105" s="33"/>
      <c r="G105" s="34"/>
      <c r="H105" s="35"/>
    </row>
    <row r="106" spans="1:8">
      <c r="A106" s="4"/>
      <c r="B106" s="16"/>
      <c r="C106" s="32"/>
      <c r="D106" s="3"/>
      <c r="E106" s="46" t="s">
        <v>47</v>
      </c>
      <c r="F106" s="2">
        <f>F74+F76+F78+F80+F82+F84+F91+F93+F95+F97+F97+F99+F101+F103</f>
        <v>0</v>
      </c>
      <c r="G106" s="34"/>
      <c r="H106" s="35"/>
    </row>
    <row r="107" spans="1:8">
      <c r="A107" s="4"/>
      <c r="B107" s="16"/>
      <c r="C107" s="32"/>
      <c r="G107" s="34"/>
      <c r="H107" s="35"/>
    </row>
    <row r="108" spans="1:8">
      <c r="B108" s="16"/>
      <c r="C108" s="1"/>
      <c r="G108" s="2"/>
      <c r="H108" s="1"/>
    </row>
    <row r="109" spans="1:8">
      <c r="B109" s="16"/>
      <c r="C109" s="1"/>
      <c r="D109" s="3"/>
      <c r="E109" s="47"/>
      <c r="F109" s="2"/>
      <c r="G109" s="2"/>
      <c r="H109" s="1"/>
    </row>
    <row r="110" spans="1:8">
      <c r="B110" s="1"/>
      <c r="E110" s="48"/>
      <c r="F110" s="48"/>
      <c r="G110" s="48"/>
      <c r="H110" s="48"/>
    </row>
    <row r="111" spans="1:8">
      <c r="B111" s="1"/>
      <c r="C111" s="1"/>
      <c r="D111" s="49"/>
      <c r="E111" s="49"/>
      <c r="F111" s="50"/>
      <c r="G111" s="50"/>
      <c r="H111" s="49"/>
    </row>
    <row r="112" spans="1:8">
      <c r="A112" s="4"/>
      <c r="B112" s="1"/>
      <c r="C112" s="1"/>
      <c r="D112" s="1" t="s">
        <v>48</v>
      </c>
      <c r="E112" s="1"/>
      <c r="F112" s="2"/>
      <c r="G112" s="2"/>
      <c r="H112" s="1"/>
    </row>
    <row r="113" spans="1:8">
      <c r="A113" s="4"/>
      <c r="B113" s="1"/>
      <c r="C113" s="1"/>
      <c r="D113" s="48" t="s">
        <v>49</v>
      </c>
      <c r="E113" s="1"/>
      <c r="F113" s="2"/>
      <c r="G113" s="2"/>
      <c r="H113" s="1"/>
    </row>
    <row r="114" spans="1:8">
      <c r="A114" s="4"/>
      <c r="B114" s="1"/>
      <c r="C114" s="1"/>
      <c r="D114" s="1"/>
      <c r="E114" s="1"/>
      <c r="F114" s="2"/>
      <c r="G114" s="2"/>
      <c r="H114" s="1"/>
    </row>
    <row r="115" spans="1:8">
      <c r="B115" s="1"/>
      <c r="C115" s="1"/>
      <c r="D115" s="1"/>
      <c r="E115" s="1"/>
      <c r="F115" s="2"/>
      <c r="G115" s="2"/>
      <c r="H115" s="1"/>
    </row>
    <row r="116" spans="1:8">
      <c r="B116" s="1"/>
      <c r="C116" s="1"/>
      <c r="D116" s="1"/>
      <c r="E116" s="1"/>
      <c r="F116" s="2"/>
      <c r="G116" s="2"/>
      <c r="H116" s="1"/>
    </row>
    <row r="117" spans="1:8">
      <c r="A117" s="1" t="s">
        <v>50</v>
      </c>
      <c r="B117" s="1"/>
      <c r="D117" s="1"/>
      <c r="E117" s="1"/>
      <c r="F117" s="2"/>
      <c r="G117" s="2"/>
      <c r="H117" s="1"/>
    </row>
    <row r="118" spans="1:8">
      <c r="B118" s="1"/>
      <c r="C118" s="1"/>
      <c r="D118" s="1"/>
      <c r="E118" s="1"/>
      <c r="F118" s="2"/>
      <c r="G118" s="2"/>
      <c r="H118" s="1"/>
    </row>
    <row r="119" spans="1:8">
      <c r="B119" s="1"/>
      <c r="C119" s="1"/>
      <c r="D119" s="1"/>
      <c r="E119" s="1"/>
      <c r="F119" s="2"/>
      <c r="G119" s="2"/>
      <c r="H119" s="1"/>
    </row>
    <row r="120" spans="1:8">
      <c r="B120" s="1"/>
      <c r="C120" s="1"/>
      <c r="D120" s="1"/>
      <c r="E120" s="1"/>
      <c r="F120" s="2"/>
      <c r="G120" s="2"/>
      <c r="H120" s="1"/>
    </row>
    <row r="121" spans="1:8">
      <c r="B121" s="1"/>
      <c r="C121" s="1"/>
      <c r="D121" s="1"/>
      <c r="E121" s="1"/>
      <c r="F121" s="2"/>
      <c r="G121" s="2"/>
      <c r="H121" s="1"/>
    </row>
    <row r="122" spans="1:8">
      <c r="B122" s="1"/>
      <c r="C122" s="1"/>
      <c r="D122" s="1"/>
      <c r="E122" s="1"/>
      <c r="F122" s="2"/>
      <c r="G122" s="2"/>
      <c r="H122" s="1"/>
    </row>
  </sheetData>
  <sheetProtection selectLockedCells="1" selectUnlockedCells="1"/>
  <phoneticPr fontId="0" type="noConversion"/>
  <pageMargins left="0.74791666666666667" right="0.74791666666666667" top="0.98402777777777772" bottom="0.98402777777777772" header="0.51180555555555551" footer="0.51180555555555551"/>
  <pageSetup paperSize="9" scale="60" firstPageNumber="0" orientation="portrait" horizontalDpi="300" verticalDpi="300" r:id="rId1"/>
  <headerFooter alignWithMargins="0"/>
  <rowBreaks count="1" manualBreakCount="1">
    <brk id="5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8"/>
  <sheetViews>
    <sheetView tabSelected="1" view="pageBreakPreview" topLeftCell="A261" zoomScaleSheetLayoutView="100" workbookViewId="0">
      <selection activeCell="B266" sqref="B266:E266"/>
    </sheetView>
  </sheetViews>
  <sheetFormatPr defaultRowHeight="12.75"/>
  <cols>
    <col min="1" max="1" width="4.85546875" style="51" customWidth="1"/>
    <col min="2" max="2" width="45" style="52" customWidth="1"/>
    <col min="3" max="3" width="7.5703125" style="53" customWidth="1"/>
    <col min="4" max="4" width="11.5703125" style="54" customWidth="1"/>
    <col min="5" max="5" width="12.85546875" style="54" customWidth="1"/>
    <col min="6" max="6" width="18.85546875" style="55" customWidth="1"/>
    <col min="9" max="9" width="15" customWidth="1"/>
    <col min="11" max="11" width="13.28515625" customWidth="1"/>
  </cols>
  <sheetData>
    <row r="1" spans="1:11" s="4" customFormat="1">
      <c r="A1" s="56"/>
      <c r="B1" s="57"/>
      <c r="C1" s="58"/>
      <c r="D1" s="59"/>
      <c r="E1" s="59"/>
      <c r="F1" s="60"/>
    </row>
    <row r="2" spans="1:11" s="4" customFormat="1" ht="15.75">
      <c r="A2" s="61" t="s">
        <v>51</v>
      </c>
      <c r="B2" s="146" t="s">
        <v>52</v>
      </c>
      <c r="C2" s="146"/>
      <c r="D2" s="146"/>
      <c r="E2" s="146"/>
      <c r="F2" s="60"/>
    </row>
    <row r="3" spans="1:11" s="4" customFormat="1">
      <c r="A3" s="56"/>
      <c r="B3" s="57"/>
      <c r="C3" s="58"/>
      <c r="D3" s="59"/>
      <c r="E3" s="59"/>
      <c r="F3" s="60"/>
    </row>
    <row r="4" spans="1:11" s="4" customFormat="1" ht="15.75">
      <c r="A4" s="61" t="s">
        <v>25</v>
      </c>
      <c r="B4" s="147" t="s">
        <v>53</v>
      </c>
      <c r="C4" s="147"/>
      <c r="D4" s="147"/>
      <c r="E4" s="147"/>
      <c r="F4" s="60"/>
      <c r="J4" s="62"/>
      <c r="K4" s="62"/>
    </row>
    <row r="5" spans="1:11" s="4" customFormat="1">
      <c r="A5" s="148"/>
      <c r="B5" s="148"/>
      <c r="C5" s="148"/>
      <c r="D5" s="148"/>
      <c r="E5" s="148"/>
      <c r="F5" s="60"/>
    </row>
    <row r="6" spans="1:11" s="4" customFormat="1" ht="42" customHeight="1">
      <c r="A6" s="63" t="s">
        <v>54</v>
      </c>
      <c r="B6" s="64" t="s">
        <v>55</v>
      </c>
      <c r="C6" s="65" t="s">
        <v>56</v>
      </c>
      <c r="D6" s="66" t="s">
        <v>57</v>
      </c>
      <c r="E6" s="67" t="s">
        <v>58</v>
      </c>
      <c r="F6" s="66" t="s">
        <v>59</v>
      </c>
    </row>
    <row r="7" spans="1:11" s="4" customFormat="1" ht="63.4" customHeight="1">
      <c r="A7" s="68">
        <v>1</v>
      </c>
      <c r="B7" s="69" t="s">
        <v>60</v>
      </c>
      <c r="C7" s="62" t="s">
        <v>61</v>
      </c>
      <c r="D7" s="70">
        <f>100</f>
        <v>100</v>
      </c>
      <c r="E7" s="70"/>
      <c r="F7" s="71">
        <f>D7*E7</f>
        <v>0</v>
      </c>
    </row>
    <row r="8" spans="1:11" s="4" customFormat="1" ht="15">
      <c r="A8" s="68"/>
      <c r="B8" s="72"/>
      <c r="C8" s="62"/>
      <c r="D8" s="70"/>
      <c r="E8" s="70"/>
      <c r="F8" s="60"/>
    </row>
    <row r="9" spans="1:11" s="4" customFormat="1" ht="140.25">
      <c r="A9" s="73">
        <v>2</v>
      </c>
      <c r="B9" s="74" t="s">
        <v>62</v>
      </c>
      <c r="C9" s="62" t="s">
        <v>63</v>
      </c>
      <c r="D9" s="70">
        <f>78.17*0.6</f>
        <v>46.902000000000008</v>
      </c>
      <c r="E9" s="70"/>
      <c r="F9" s="71">
        <f>D9*E9</f>
        <v>0</v>
      </c>
    </row>
    <row r="10" spans="1:11" s="4" customFormat="1">
      <c r="A10"/>
      <c r="B10"/>
      <c r="C10"/>
      <c r="D10"/>
      <c r="E10"/>
      <c r="F10"/>
    </row>
    <row r="11" spans="1:11" s="4" customFormat="1" ht="114.75">
      <c r="A11" s="73">
        <v>3</v>
      </c>
      <c r="B11" s="74" t="s">
        <v>64</v>
      </c>
      <c r="C11" s="75"/>
      <c r="D11" s="75"/>
      <c r="E11" s="75"/>
      <c r="F11" s="75"/>
    </row>
    <row r="12" spans="1:11" s="4" customFormat="1" ht="15">
      <c r="A12" s="73"/>
      <c r="B12" s="76" t="s">
        <v>65</v>
      </c>
      <c r="C12" s="62" t="s">
        <v>63</v>
      </c>
      <c r="D12" s="70">
        <f>5.45*3.7*2.75</f>
        <v>55.453750000000007</v>
      </c>
      <c r="E12" s="70"/>
      <c r="F12" s="71">
        <f>D12*E12</f>
        <v>0</v>
      </c>
    </row>
    <row r="13" spans="1:11" s="4" customFormat="1" ht="15">
      <c r="A13" s="73"/>
      <c r="B13" s="76" t="s">
        <v>66</v>
      </c>
      <c r="C13" s="62" t="s">
        <v>63</v>
      </c>
      <c r="D13" s="70">
        <f>2.7*2.7*3</f>
        <v>21.870000000000005</v>
      </c>
      <c r="E13" s="70"/>
      <c r="F13" s="71">
        <f>D13*E13</f>
        <v>0</v>
      </c>
    </row>
    <row r="14" spans="1:11" s="4" customFormat="1" ht="15">
      <c r="A14" s="73"/>
      <c r="B14" s="76"/>
      <c r="C14" s="62"/>
      <c r="D14" s="70"/>
      <c r="E14" s="70"/>
      <c r="F14" s="60"/>
    </row>
    <row r="15" spans="1:11" s="4" customFormat="1" ht="89.25">
      <c r="A15" s="77">
        <v>4</v>
      </c>
      <c r="B15" s="69" t="s">
        <v>67</v>
      </c>
      <c r="C15" s="62" t="s">
        <v>63</v>
      </c>
      <c r="D15" s="70">
        <f>46.12*0.6</f>
        <v>27.672000000000004</v>
      </c>
      <c r="E15" s="70"/>
      <c r="F15" s="71">
        <f>D15*E15</f>
        <v>0</v>
      </c>
    </row>
    <row r="16" spans="1:11" s="4" customFormat="1" ht="15">
      <c r="A16" s="77"/>
      <c r="B16" s="69"/>
      <c r="C16" s="62"/>
      <c r="D16" s="70"/>
      <c r="E16" s="70"/>
      <c r="F16" s="71"/>
    </row>
    <row r="17" spans="1:6" s="4" customFormat="1" ht="89.25">
      <c r="A17" s="77">
        <v>5</v>
      </c>
      <c r="B17" s="69" t="s">
        <v>68</v>
      </c>
      <c r="C17" s="62" t="s">
        <v>63</v>
      </c>
      <c r="D17" s="70">
        <f>4.84*0.6*2</f>
        <v>5.8080000000000007</v>
      </c>
      <c r="E17" s="70"/>
      <c r="F17" s="71">
        <f>D17*E17</f>
        <v>0</v>
      </c>
    </row>
    <row r="18" spans="1:6" s="4" customFormat="1" ht="15">
      <c r="A18" s="73"/>
      <c r="B18" s="76"/>
      <c r="C18" s="62"/>
      <c r="D18" s="70"/>
      <c r="E18" s="70"/>
      <c r="F18" s="60"/>
    </row>
    <row r="19" spans="1:6" ht="76.5">
      <c r="A19" s="77">
        <v>6</v>
      </c>
      <c r="B19" s="78" t="s">
        <v>69</v>
      </c>
      <c r="C19" s="62" t="s">
        <v>63</v>
      </c>
      <c r="D19" s="70">
        <f>(150)*0.6*0.6</f>
        <v>54.000000000000014</v>
      </c>
      <c r="E19" s="79"/>
      <c r="F19" s="80">
        <f>D19*E19</f>
        <v>0</v>
      </c>
    </row>
    <row r="20" spans="1:6">
      <c r="A20" s="75"/>
      <c r="B20"/>
      <c r="C20"/>
      <c r="D20"/>
      <c r="E20"/>
      <c r="F20"/>
    </row>
    <row r="21" spans="1:6" s="4" customFormat="1" ht="51">
      <c r="A21" s="77">
        <v>7</v>
      </c>
      <c r="B21" s="69" t="s">
        <v>70</v>
      </c>
      <c r="C21" s="62" t="s">
        <v>63</v>
      </c>
      <c r="D21" s="70">
        <f>(14.93+18.06+3.92)*0.1</f>
        <v>3.6909999999999998</v>
      </c>
      <c r="E21" s="70"/>
      <c r="F21" s="71">
        <f>D21*E21</f>
        <v>0</v>
      </c>
    </row>
    <row r="22" spans="1:6" s="4" customFormat="1" ht="15">
      <c r="A22" s="77"/>
      <c r="B22" s="81"/>
      <c r="C22" s="62"/>
      <c r="D22" s="70"/>
      <c r="E22" s="70"/>
      <c r="F22" s="60"/>
    </row>
    <row r="23" spans="1:6" s="4" customFormat="1" ht="38.25">
      <c r="A23" s="77">
        <v>8</v>
      </c>
      <c r="B23" s="69" t="s">
        <v>71</v>
      </c>
      <c r="C23" s="62" t="s">
        <v>63</v>
      </c>
      <c r="D23" s="70">
        <f>21.2*1.2</f>
        <v>25.439999999999998</v>
      </c>
      <c r="E23" s="70"/>
      <c r="F23" s="71">
        <f>D23*E23</f>
        <v>0</v>
      </c>
    </row>
    <row r="24" spans="1:6">
      <c r="A24" s="75"/>
      <c r="B24"/>
      <c r="C24"/>
      <c r="D24"/>
      <c r="E24"/>
      <c r="F24"/>
    </row>
    <row r="25" spans="1:6" s="4" customFormat="1" ht="51">
      <c r="A25" s="77">
        <v>9</v>
      </c>
      <c r="B25" s="82" t="s">
        <v>72</v>
      </c>
      <c r="C25" s="62" t="s">
        <v>63</v>
      </c>
      <c r="D25" s="70">
        <f>(150)*0.3*0.6</f>
        <v>27.000000000000007</v>
      </c>
      <c r="E25" s="70"/>
      <c r="F25" s="71">
        <f>D25*E25</f>
        <v>0</v>
      </c>
    </row>
    <row r="26" spans="1:6">
      <c r="A26" s="75"/>
      <c r="B26"/>
      <c r="C26"/>
      <c r="D26"/>
      <c r="E26"/>
      <c r="F26"/>
    </row>
    <row r="27" spans="1:6" s="4" customFormat="1" ht="38.25">
      <c r="A27" s="77">
        <v>10</v>
      </c>
      <c r="B27" s="82" t="s">
        <v>73</v>
      </c>
      <c r="C27" s="62" t="s">
        <v>63</v>
      </c>
      <c r="D27" s="70">
        <f>(150)*0.3*0.6</f>
        <v>27.000000000000007</v>
      </c>
      <c r="E27" s="70"/>
      <c r="F27" s="71">
        <f>D27*E27</f>
        <v>0</v>
      </c>
    </row>
    <row r="28" spans="1:6" s="4" customFormat="1" ht="15">
      <c r="A28" s="77"/>
      <c r="B28" s="83"/>
      <c r="C28" s="62"/>
      <c r="D28" s="70"/>
      <c r="E28" s="70"/>
      <c r="F28" s="60"/>
    </row>
    <row r="29" spans="1:6" ht="38.25">
      <c r="A29" s="77">
        <v>11</v>
      </c>
      <c r="B29" s="78" t="s">
        <v>74</v>
      </c>
      <c r="C29" s="62" t="s">
        <v>63</v>
      </c>
      <c r="D29" s="79">
        <f>D36+D38+(2.5*4.25*2.75)+(1.5*1.5*3)</f>
        <v>51.381250000000001</v>
      </c>
      <c r="E29" s="79"/>
      <c r="F29" s="80">
        <f>D29*E29</f>
        <v>0</v>
      </c>
    </row>
    <row r="30" spans="1:6" s="4" customFormat="1" ht="15">
      <c r="A30" s="73"/>
      <c r="B30" s="84"/>
      <c r="C30" s="62"/>
      <c r="D30" s="70"/>
      <c r="E30" s="70"/>
      <c r="F30" s="60"/>
    </row>
    <row r="31" spans="1:6" s="4" customFormat="1" ht="15.6" customHeight="1">
      <c r="A31" s="85" t="s">
        <v>25</v>
      </c>
      <c r="B31" s="149" t="s">
        <v>75</v>
      </c>
      <c r="C31" s="149"/>
      <c r="D31" s="149"/>
      <c r="E31" s="149"/>
      <c r="F31" s="87">
        <f>SUM(F7:F29)</f>
        <v>0</v>
      </c>
    </row>
    <row r="32" spans="1:6" s="4" customFormat="1" ht="15.75">
      <c r="A32" s="85"/>
      <c r="B32" s="88"/>
      <c r="C32" s="88"/>
      <c r="D32" s="88"/>
      <c r="E32" s="88"/>
      <c r="F32" s="87"/>
    </row>
    <row r="33" spans="1:9" s="4" customFormat="1" ht="15.6" customHeight="1">
      <c r="A33" s="89"/>
      <c r="B33" s="90"/>
      <c r="C33" s="58"/>
      <c r="D33" s="59"/>
      <c r="E33" s="59"/>
      <c r="F33" s="60"/>
    </row>
    <row r="34" spans="1:9" s="4" customFormat="1" ht="15.6" customHeight="1">
      <c r="A34" s="85" t="s">
        <v>27</v>
      </c>
      <c r="B34" s="149" t="s">
        <v>76</v>
      </c>
      <c r="C34" s="149"/>
      <c r="D34" s="149"/>
      <c r="E34" s="149"/>
      <c r="F34" s="60"/>
    </row>
    <row r="35" spans="1:9" s="4" customFormat="1" ht="15">
      <c r="A35" s="73"/>
      <c r="B35" s="91"/>
      <c r="C35" s="62"/>
      <c r="D35" s="60"/>
      <c r="E35" s="60"/>
      <c r="F35" s="60"/>
    </row>
    <row r="36" spans="1:9" s="4" customFormat="1" ht="99.95" customHeight="1">
      <c r="A36" s="73">
        <v>1</v>
      </c>
      <c r="B36" s="92" t="s">
        <v>77</v>
      </c>
      <c r="C36" s="62" t="s">
        <v>63</v>
      </c>
      <c r="D36" s="70">
        <f>16.46*0.6</f>
        <v>9.8760000000000012</v>
      </c>
      <c r="E36" s="71"/>
      <c r="F36" s="71">
        <f>D36*E36</f>
        <v>0</v>
      </c>
      <c r="I36" s="93"/>
    </row>
    <row r="37" spans="1:9" s="4" customFormat="1" ht="14.25" customHeight="1">
      <c r="A37" s="73"/>
      <c r="B37" s="91"/>
      <c r="C37" s="62"/>
      <c r="D37" s="70"/>
      <c r="E37" s="60"/>
      <c r="F37" s="60"/>
      <c r="I37" s="93"/>
    </row>
    <row r="38" spans="1:9" s="4" customFormat="1" ht="62.65" customHeight="1">
      <c r="A38" s="73">
        <v>2</v>
      </c>
      <c r="B38" s="92" t="s">
        <v>78</v>
      </c>
      <c r="C38" s="62" t="s">
        <v>63</v>
      </c>
      <c r="D38" s="70">
        <f>(14.93+18.06+3.92)*0.15</f>
        <v>5.5364999999999993</v>
      </c>
      <c r="E38" s="71"/>
      <c r="F38" s="71">
        <f>D38*E38</f>
        <v>0</v>
      </c>
    </row>
    <row r="39" spans="1:9" s="4" customFormat="1" ht="15">
      <c r="A39" s="73"/>
      <c r="B39" s="91"/>
      <c r="C39" s="62"/>
      <c r="D39" s="70"/>
      <c r="E39" s="60"/>
      <c r="F39" s="60"/>
    </row>
    <row r="40" spans="1:9" ht="92.25" customHeight="1">
      <c r="A40" s="77">
        <v>3</v>
      </c>
      <c r="B40" s="94" t="s">
        <v>79</v>
      </c>
      <c r="C40" s="75"/>
      <c r="D40" s="75"/>
      <c r="E40" s="75"/>
      <c r="F40" s="75"/>
    </row>
    <row r="41" spans="1:9" ht="15">
      <c r="A41" s="77"/>
      <c r="B41" s="95" t="s">
        <v>80</v>
      </c>
      <c r="C41" s="62" t="s">
        <v>63</v>
      </c>
      <c r="D41" s="96">
        <f>((0.25*0.25)*5+0.05+0.113+0.086)*3.41</f>
        <v>1.9147150000000002</v>
      </c>
      <c r="E41" s="80"/>
      <c r="F41" s="71">
        <f>D41*E41</f>
        <v>0</v>
      </c>
    </row>
    <row r="42" spans="1:9" ht="15">
      <c r="A42" s="77"/>
      <c r="B42" s="95" t="s">
        <v>81</v>
      </c>
      <c r="C42" s="62" t="s">
        <v>63</v>
      </c>
      <c r="D42" s="96">
        <f>7.67*0.25*0.3</f>
        <v>0.57524999999999993</v>
      </c>
      <c r="E42" s="80"/>
      <c r="F42" s="71">
        <f>D42*E42</f>
        <v>0</v>
      </c>
    </row>
    <row r="43" spans="1:9" ht="15">
      <c r="A43" s="77"/>
      <c r="B43" s="95" t="s">
        <v>82</v>
      </c>
      <c r="C43" s="62" t="s">
        <v>63</v>
      </c>
      <c r="D43" s="96">
        <f>0.049*2*3.41</f>
        <v>0.33418000000000003</v>
      </c>
      <c r="E43" s="80"/>
      <c r="F43" s="71">
        <f>D43*E43</f>
        <v>0</v>
      </c>
    </row>
    <row r="44" spans="1:9" ht="15">
      <c r="A44" s="77"/>
      <c r="B44" s="95"/>
      <c r="C44" s="62"/>
      <c r="D44" s="96"/>
      <c r="E44" s="80"/>
      <c r="F44" s="71"/>
    </row>
    <row r="45" spans="1:9" ht="76.5">
      <c r="A45" s="73">
        <v>4</v>
      </c>
      <c r="B45" s="94" t="s">
        <v>83</v>
      </c>
      <c r="C45" s="62" t="s">
        <v>63</v>
      </c>
      <c r="D45" s="70">
        <f>(0.22*0.22*3.5)*2</f>
        <v>0.33879999999999999</v>
      </c>
      <c r="E45" s="71"/>
      <c r="F45" s="71">
        <f>D45*E45</f>
        <v>0</v>
      </c>
    </row>
    <row r="46" spans="1:9" ht="15">
      <c r="A46" s="77"/>
      <c r="B46"/>
      <c r="C46" s="62"/>
      <c r="D46" s="55"/>
      <c r="E46" s="97"/>
      <c r="F46" s="98"/>
    </row>
    <row r="47" spans="1:9" ht="76.5">
      <c r="A47" s="77">
        <v>5</v>
      </c>
      <c r="B47" s="94" t="s">
        <v>84</v>
      </c>
      <c r="C47" s="62" t="s">
        <v>63</v>
      </c>
      <c r="D47" s="96"/>
      <c r="E47" s="80"/>
      <c r="F47" s="80">
        <f>D47*E47</f>
        <v>0</v>
      </c>
    </row>
    <row r="48" spans="1:9" ht="15">
      <c r="A48" s="77"/>
      <c r="B48" s="95" t="s">
        <v>85</v>
      </c>
      <c r="C48" s="62" t="s">
        <v>63</v>
      </c>
      <c r="D48" s="96">
        <f>(10.62*0.2)+(10.62*0.15)</f>
        <v>3.7169999999999996</v>
      </c>
      <c r="E48" s="80"/>
      <c r="F48" s="71">
        <f>D48*E48</f>
        <v>0</v>
      </c>
    </row>
    <row r="49" spans="1:6" ht="15">
      <c r="A49" s="77"/>
      <c r="B49" s="95" t="s">
        <v>86</v>
      </c>
      <c r="C49" s="62" t="s">
        <v>63</v>
      </c>
      <c r="D49" s="96">
        <f>3.125*2.12</f>
        <v>6.625</v>
      </c>
      <c r="E49" s="80"/>
      <c r="F49" s="71">
        <f>D49*E49</f>
        <v>0</v>
      </c>
    </row>
    <row r="50" spans="1:6" ht="15">
      <c r="A50" s="77"/>
      <c r="B50" s="95"/>
      <c r="C50" s="62"/>
      <c r="D50" s="96"/>
      <c r="E50" s="80"/>
      <c r="F50" s="71"/>
    </row>
    <row r="51" spans="1:6" ht="76.5">
      <c r="A51" s="77">
        <v>6</v>
      </c>
      <c r="B51" s="94" t="s">
        <v>87</v>
      </c>
      <c r="C51" s="62" t="s">
        <v>63</v>
      </c>
      <c r="D51" s="96"/>
      <c r="E51" s="80"/>
      <c r="F51" s="80">
        <f>D51*E51</f>
        <v>0</v>
      </c>
    </row>
    <row r="52" spans="1:6" ht="15">
      <c r="A52" s="77"/>
      <c r="B52" s="95" t="s">
        <v>85</v>
      </c>
      <c r="C52" s="62" t="s">
        <v>63</v>
      </c>
      <c r="D52" s="96">
        <f>2.23*0.15</f>
        <v>0.33449999999999996</v>
      </c>
      <c r="E52" s="80"/>
      <c r="F52" s="71">
        <f>D52*E52</f>
        <v>0</v>
      </c>
    </row>
    <row r="53" spans="1:6" ht="15">
      <c r="A53" s="77"/>
      <c r="B53" s="95" t="s">
        <v>86</v>
      </c>
      <c r="C53" s="62" t="s">
        <v>63</v>
      </c>
      <c r="D53" s="96">
        <f>1.2*1.1</f>
        <v>1.32</v>
      </c>
      <c r="E53" s="80"/>
      <c r="F53" s="71">
        <f>D53*E53</f>
        <v>0</v>
      </c>
    </row>
    <row r="54" spans="1:6" s="4" customFormat="1" ht="15">
      <c r="A54" s="73"/>
      <c r="B54" s="91"/>
      <c r="C54" s="62"/>
      <c r="D54" s="60"/>
      <c r="E54" s="60"/>
      <c r="F54" s="60"/>
    </row>
    <row r="55" spans="1:6" s="4" customFormat="1" ht="62.85" customHeight="1">
      <c r="A55" s="73">
        <v>7</v>
      </c>
      <c r="B55" s="92" t="s">
        <v>88</v>
      </c>
      <c r="C55" s="99"/>
      <c r="D55" s="100"/>
      <c r="E55" s="100"/>
      <c r="F55" s="71"/>
    </row>
    <row r="56" spans="1:6" s="4" customFormat="1" ht="15">
      <c r="A56" s="73"/>
      <c r="B56" s="101" t="s">
        <v>89</v>
      </c>
      <c r="C56" s="99" t="s">
        <v>90</v>
      </c>
      <c r="D56" s="71">
        <f>D36*80</f>
        <v>790.08000000000015</v>
      </c>
      <c r="E56" s="71"/>
      <c r="F56" s="71">
        <f>D56*E56</f>
        <v>0</v>
      </c>
    </row>
    <row r="57" spans="1:6" s="4" customFormat="1">
      <c r="A57" s="89"/>
      <c r="B57" s="102" t="s">
        <v>91</v>
      </c>
      <c r="C57" s="99" t="s">
        <v>90</v>
      </c>
      <c r="D57" s="71">
        <f>(D38+D48)*100</f>
        <v>925.34999999999991</v>
      </c>
      <c r="E57" s="71"/>
      <c r="F57" s="71">
        <f>D57*E57</f>
        <v>0</v>
      </c>
    </row>
    <row r="58" spans="1:6" s="4" customFormat="1" ht="14.85" customHeight="1">
      <c r="A58" s="89"/>
      <c r="B58" s="102" t="s">
        <v>92</v>
      </c>
      <c r="C58" s="99" t="s">
        <v>90</v>
      </c>
      <c r="D58" s="71">
        <f>(D41+D42+D43)*90</f>
        <v>254.17305000000002</v>
      </c>
      <c r="E58" s="71"/>
      <c r="F58" s="71">
        <f>D58*E58</f>
        <v>0</v>
      </c>
    </row>
    <row r="59" spans="1:6" s="4" customFormat="1" ht="14.85" customHeight="1">
      <c r="A59" s="89"/>
      <c r="B59" s="102" t="s">
        <v>93</v>
      </c>
      <c r="C59" s="99" t="s">
        <v>90</v>
      </c>
      <c r="D59" s="71">
        <f>D45*120</f>
        <v>40.655999999999999</v>
      </c>
      <c r="E59" s="71"/>
      <c r="F59" s="71">
        <f>D59*E59</f>
        <v>0</v>
      </c>
    </row>
    <row r="60" spans="1:6" s="4" customFormat="1" ht="14.85" customHeight="1">
      <c r="A60" s="89"/>
      <c r="B60" s="102" t="s">
        <v>94</v>
      </c>
      <c r="C60" s="99" t="s">
        <v>90</v>
      </c>
      <c r="D60" s="71">
        <f>D142*200</f>
        <v>1810.0000000000002</v>
      </c>
      <c r="E60" s="71"/>
      <c r="F60" s="71">
        <f>D60*E60</f>
        <v>0</v>
      </c>
    </row>
    <row r="61" spans="1:6" s="4" customFormat="1" ht="14.25">
      <c r="A61" s="89"/>
      <c r="B61" s="103"/>
      <c r="C61" s="58"/>
      <c r="D61" s="60"/>
      <c r="E61" s="60"/>
      <c r="F61" s="60"/>
    </row>
    <row r="62" spans="1:6" s="4" customFormat="1" ht="15.6" customHeight="1">
      <c r="A62" s="85" t="s">
        <v>27</v>
      </c>
      <c r="B62" s="149" t="s">
        <v>95</v>
      </c>
      <c r="C62" s="149"/>
      <c r="D62" s="149"/>
      <c r="E62" s="149"/>
      <c r="F62" s="87">
        <f>SUM(F35:F61)</f>
        <v>0</v>
      </c>
    </row>
    <row r="63" spans="1:6" s="4" customFormat="1">
      <c r="A63" s="104"/>
      <c r="B63" s="91"/>
      <c r="C63" s="58"/>
      <c r="D63" s="59"/>
      <c r="E63" s="59"/>
      <c r="F63" s="60"/>
    </row>
    <row r="64" spans="1:6" s="4" customFormat="1" ht="15.6" customHeight="1">
      <c r="A64" s="89"/>
      <c r="B64" s="105"/>
      <c r="C64" s="99"/>
      <c r="D64" s="71"/>
      <c r="E64" s="71"/>
      <c r="F64" s="71"/>
    </row>
    <row r="65" spans="1:6" s="4" customFormat="1" ht="15.6" customHeight="1">
      <c r="A65" s="85" t="s">
        <v>29</v>
      </c>
      <c r="B65" s="149" t="s">
        <v>96</v>
      </c>
      <c r="C65" s="149"/>
      <c r="D65" s="149"/>
      <c r="E65" s="149"/>
      <c r="F65" s="60"/>
    </row>
    <row r="66" spans="1:6" s="4" customFormat="1" ht="15.6" customHeight="1">
      <c r="A66" s="85"/>
      <c r="B66" s="86"/>
      <c r="C66" s="86"/>
      <c r="D66" s="86"/>
      <c r="E66" s="86"/>
      <c r="F66" s="60"/>
    </row>
    <row r="67" spans="1:6" s="4" customFormat="1" ht="27.2" customHeight="1">
      <c r="A67" s="73">
        <v>1</v>
      </c>
      <c r="B67" s="92" t="s">
        <v>97</v>
      </c>
      <c r="C67" s="62" t="s">
        <v>98</v>
      </c>
      <c r="D67" s="71">
        <f>1</f>
        <v>1</v>
      </c>
      <c r="E67" s="71"/>
      <c r="F67" s="71">
        <f>D67*E67</f>
        <v>0</v>
      </c>
    </row>
    <row r="68" spans="1:6" s="4" customFormat="1" ht="15">
      <c r="A68" s="73"/>
      <c r="B68" s="91"/>
      <c r="C68" s="62"/>
      <c r="D68" s="60"/>
      <c r="E68" s="60"/>
      <c r="F68" s="60"/>
    </row>
    <row r="69" spans="1:6" s="4" customFormat="1" ht="76.5">
      <c r="A69" s="73">
        <v>2</v>
      </c>
      <c r="B69" s="94" t="s">
        <v>99</v>
      </c>
      <c r="C69" s="62" t="s">
        <v>63</v>
      </c>
      <c r="D69" s="96">
        <f>(5.75*3.41)-D41</f>
        <v>17.692785000000001</v>
      </c>
      <c r="E69" s="80"/>
      <c r="F69" s="80">
        <f>D69*E69</f>
        <v>0</v>
      </c>
    </row>
    <row r="70" spans="1:6" s="4" customFormat="1" ht="15">
      <c r="A70" s="73"/>
      <c r="B70"/>
      <c r="C70" s="62"/>
      <c r="D70" s="55"/>
      <c r="E70" s="97"/>
      <c r="F70" s="97"/>
    </row>
    <row r="71" spans="1:6" s="4" customFormat="1" ht="76.5">
      <c r="A71" s="73">
        <v>3</v>
      </c>
      <c r="B71" s="106" t="s">
        <v>100</v>
      </c>
      <c r="C71" s="62" t="s">
        <v>101</v>
      </c>
      <c r="D71" s="96">
        <f>3.47*0.2*4.63</f>
        <v>3.2132200000000002</v>
      </c>
      <c r="E71" s="80"/>
      <c r="F71" s="80">
        <v>0</v>
      </c>
    </row>
    <row r="72" spans="1:6" s="4" customFormat="1" ht="15">
      <c r="A72" s="73"/>
      <c r="B72"/>
      <c r="C72" s="62"/>
      <c r="D72" s="55"/>
      <c r="E72" s="97"/>
      <c r="F72" s="97"/>
    </row>
    <row r="73" spans="1:6" s="4" customFormat="1" ht="80.25" customHeight="1">
      <c r="A73" s="73">
        <v>4</v>
      </c>
      <c r="B73" s="94" t="s">
        <v>102</v>
      </c>
      <c r="C73" s="75"/>
      <c r="D73" s="75"/>
      <c r="E73" s="75"/>
      <c r="F73" s="75"/>
    </row>
    <row r="74" spans="1:6" s="4" customFormat="1" ht="14.25">
      <c r="A74" s="104"/>
      <c r="B74" s="95" t="s">
        <v>103</v>
      </c>
      <c r="C74" s="62" t="s">
        <v>61</v>
      </c>
      <c r="D74" s="96">
        <f>18.06+3.92</f>
        <v>21.979999999999997</v>
      </c>
      <c r="E74" s="80"/>
      <c r="F74" s="80">
        <f>D74*E74</f>
        <v>0</v>
      </c>
    </row>
    <row r="75" spans="1:6" s="4" customFormat="1" ht="14.25">
      <c r="A75" s="104"/>
      <c r="B75" s="95" t="s">
        <v>104</v>
      </c>
      <c r="C75" s="62" t="s">
        <v>61</v>
      </c>
      <c r="D75" s="96">
        <f>14.93</f>
        <v>14.93</v>
      </c>
      <c r="E75" s="80"/>
      <c r="F75" s="80">
        <f>D75*E75</f>
        <v>0</v>
      </c>
    </row>
    <row r="76" spans="1:6" s="4" customFormat="1">
      <c r="A76" s="104"/>
      <c r="B76"/>
      <c r="C76" s="62"/>
      <c r="D76" s="60"/>
      <c r="E76" s="60"/>
      <c r="F76" s="60"/>
    </row>
    <row r="77" spans="1:6" s="4" customFormat="1" ht="76.5">
      <c r="A77" s="73">
        <v>5</v>
      </c>
      <c r="B77" s="107" t="s">
        <v>105</v>
      </c>
      <c r="C77" s="62" t="s">
        <v>61</v>
      </c>
      <c r="D77" s="96">
        <f>(19.39+4.78)*3.28</f>
        <v>79.277600000000007</v>
      </c>
      <c r="E77" s="80"/>
      <c r="F77" s="80">
        <f>D77*E77</f>
        <v>0</v>
      </c>
    </row>
    <row r="78" spans="1:6" s="4" customFormat="1">
      <c r="A78" s="104"/>
      <c r="C78" s="62"/>
      <c r="D78" s="60"/>
      <c r="E78" s="60"/>
      <c r="F78" s="60"/>
    </row>
    <row r="79" spans="1:6" s="4" customFormat="1" ht="51">
      <c r="A79" s="73">
        <v>6</v>
      </c>
      <c r="B79" s="92" t="s">
        <v>106</v>
      </c>
      <c r="C79" s="62"/>
      <c r="D79" s="71"/>
      <c r="E79" s="71"/>
      <c r="F79" s="71"/>
    </row>
    <row r="80" spans="1:6" s="4" customFormat="1" ht="15">
      <c r="A80" s="73"/>
      <c r="B80" s="108" t="s">
        <v>107</v>
      </c>
      <c r="C80" s="99" t="s">
        <v>108</v>
      </c>
      <c r="D80" s="71">
        <v>100</v>
      </c>
      <c r="E80" s="71"/>
      <c r="F80" s="71">
        <f>D80*E80</f>
        <v>0</v>
      </c>
    </row>
    <row r="81" spans="1:6" s="4" customFormat="1" ht="15">
      <c r="A81" s="73"/>
      <c r="B81" s="108" t="s">
        <v>109</v>
      </c>
      <c r="C81" s="99" t="s">
        <v>108</v>
      </c>
      <c r="D81" s="71">
        <v>100</v>
      </c>
      <c r="E81" s="71"/>
      <c r="F81" s="71">
        <f>D81*E81</f>
        <v>0</v>
      </c>
    </row>
    <row r="82" spans="1:6" s="4" customFormat="1" ht="15">
      <c r="A82" s="73"/>
      <c r="B82" s="109"/>
      <c r="C82" s="58"/>
      <c r="D82" s="60"/>
      <c r="E82" s="60"/>
      <c r="F82" s="60"/>
    </row>
    <row r="83" spans="1:6" s="4" customFormat="1" ht="51">
      <c r="A83" s="73">
        <v>7</v>
      </c>
      <c r="B83" s="92" t="s">
        <v>110</v>
      </c>
      <c r="C83" s="62" t="s">
        <v>61</v>
      </c>
      <c r="D83" s="71">
        <f>52.08</f>
        <v>52.08</v>
      </c>
      <c r="E83" s="71"/>
      <c r="F83" s="71">
        <f>D83*E83</f>
        <v>0</v>
      </c>
    </row>
    <row r="84" spans="1:6" s="4" customFormat="1" ht="15">
      <c r="A84" s="73"/>
      <c r="B84" s="110"/>
      <c r="C84" s="58"/>
      <c r="D84" s="60"/>
      <c r="E84" s="60"/>
      <c r="F84" s="60"/>
    </row>
    <row r="85" spans="1:6" s="4" customFormat="1" ht="15.6" customHeight="1">
      <c r="A85" s="85" t="s">
        <v>29</v>
      </c>
      <c r="B85" s="149" t="s">
        <v>111</v>
      </c>
      <c r="C85" s="149"/>
      <c r="D85" s="149"/>
      <c r="E85" s="149"/>
      <c r="F85" s="87">
        <f>SUM(F67:F83)</f>
        <v>0</v>
      </c>
    </row>
    <row r="86" spans="1:6" s="4" customFormat="1" ht="15">
      <c r="A86" s="73"/>
      <c r="B86" s="91"/>
      <c r="C86" s="62"/>
      <c r="D86" s="60"/>
      <c r="E86" s="60"/>
      <c r="F86" s="60"/>
    </row>
    <row r="87" spans="1:6" s="4" customFormat="1" ht="15.6" customHeight="1">
      <c r="A87" s="73"/>
      <c r="B87" s="91"/>
      <c r="C87" s="58"/>
      <c r="D87" s="59"/>
      <c r="E87" s="59"/>
      <c r="F87" s="60"/>
    </row>
    <row r="88" spans="1:6" s="4" customFormat="1" ht="15.6" customHeight="1">
      <c r="A88" s="85" t="s">
        <v>31</v>
      </c>
      <c r="B88" s="149" t="s">
        <v>112</v>
      </c>
      <c r="C88" s="149"/>
      <c r="D88" s="149"/>
      <c r="E88" s="149"/>
      <c r="F88" s="60"/>
    </row>
    <row r="89" spans="1:6" s="4" customFormat="1" ht="15">
      <c r="A89" s="73"/>
      <c r="B89" s="91"/>
      <c r="C89" s="58"/>
      <c r="D89" s="59"/>
      <c r="E89" s="59"/>
      <c r="F89" s="60"/>
    </row>
    <row r="90" spans="1:6" ht="78.75" customHeight="1">
      <c r="A90" s="77">
        <v>1</v>
      </c>
      <c r="B90" s="92" t="s">
        <v>113</v>
      </c>
      <c r="C90" s="62" t="s">
        <v>61</v>
      </c>
      <c r="D90" s="71">
        <f>31.41*4.8</f>
        <v>150.768</v>
      </c>
      <c r="E90" s="71"/>
      <c r="F90" s="71">
        <f>D90*E90</f>
        <v>0</v>
      </c>
    </row>
    <row r="91" spans="1:6" s="4" customFormat="1" ht="15">
      <c r="A91" s="73"/>
      <c r="B91" s="91"/>
      <c r="C91" s="62"/>
      <c r="D91" s="60"/>
      <c r="E91" s="60"/>
      <c r="F91" s="60"/>
    </row>
    <row r="92" spans="1:6" s="4" customFormat="1" ht="89.25">
      <c r="A92" s="73">
        <v>2</v>
      </c>
      <c r="B92" s="92" t="s">
        <v>114</v>
      </c>
      <c r="C92" s="62" t="s">
        <v>61</v>
      </c>
      <c r="D92" s="71">
        <f>23.36+27.18+35.69+30.55</f>
        <v>116.77999999999999</v>
      </c>
      <c r="E92" s="71"/>
      <c r="F92" s="71">
        <f>D92*E92</f>
        <v>0</v>
      </c>
    </row>
    <row r="93" spans="1:6" s="4" customFormat="1" ht="15">
      <c r="A93" s="73"/>
      <c r="B93" s="91"/>
      <c r="C93" s="62"/>
      <c r="D93" s="60"/>
      <c r="E93" s="60"/>
      <c r="F93" s="60"/>
    </row>
    <row r="94" spans="1:6" s="4" customFormat="1" ht="15.6" customHeight="1">
      <c r="A94" s="85" t="s">
        <v>31</v>
      </c>
      <c r="B94" s="149" t="s">
        <v>115</v>
      </c>
      <c r="C94" s="149"/>
      <c r="D94" s="149"/>
      <c r="E94" s="149"/>
      <c r="F94" s="87">
        <f>SUM(F90:F92)</f>
        <v>0</v>
      </c>
    </row>
    <row r="95" spans="1:6" s="4" customFormat="1" ht="15.6" customHeight="1">
      <c r="A95" s="85"/>
      <c r="B95" s="86"/>
      <c r="C95" s="86"/>
      <c r="D95" s="86"/>
      <c r="E95" s="86"/>
      <c r="F95" s="87"/>
    </row>
    <row r="96" spans="1:6" s="4" customFormat="1" ht="15">
      <c r="A96" s="73"/>
      <c r="B96"/>
      <c r="C96" s="111"/>
      <c r="D96" s="111"/>
      <c r="E96" s="111"/>
      <c r="F96" s="87"/>
    </row>
    <row r="97" spans="1:6" s="4" customFormat="1" ht="15.2" customHeight="1">
      <c r="A97" s="85" t="s">
        <v>33</v>
      </c>
      <c r="B97" s="149" t="s">
        <v>116</v>
      </c>
      <c r="C97" s="149"/>
      <c r="D97" s="149"/>
      <c r="E97" s="149"/>
      <c r="F97" s="60"/>
    </row>
    <row r="98" spans="1:6" s="4" customFormat="1" ht="15">
      <c r="A98" s="73"/>
      <c r="B98" s="91"/>
      <c r="C98" s="58"/>
      <c r="D98" s="59"/>
      <c r="E98" s="59"/>
      <c r="F98" s="60"/>
    </row>
    <row r="99" spans="1:6" s="4" customFormat="1" ht="102.75" customHeight="1">
      <c r="A99" s="73">
        <v>1</v>
      </c>
      <c r="B99" s="92" t="s">
        <v>117</v>
      </c>
      <c r="C99" s="62"/>
      <c r="D99" s="71"/>
      <c r="E99" s="100"/>
      <c r="F99" s="71"/>
    </row>
    <row r="100" spans="1:6" s="4" customFormat="1" ht="14.25">
      <c r="A100" s="104"/>
      <c r="B100" s="102" t="s">
        <v>118</v>
      </c>
      <c r="C100" s="62" t="s">
        <v>61</v>
      </c>
      <c r="D100" s="71">
        <f>5.77+23.78</f>
        <v>29.55</v>
      </c>
      <c r="E100" s="71"/>
      <c r="F100" s="71">
        <f>D100*E100</f>
        <v>0</v>
      </c>
    </row>
    <row r="101" spans="1:6" s="4" customFormat="1" ht="14.25">
      <c r="A101" s="104"/>
      <c r="B101" s="106" t="s">
        <v>119</v>
      </c>
      <c r="C101" s="62" t="s">
        <v>61</v>
      </c>
      <c r="D101" s="71">
        <f>24.25*0.3</f>
        <v>7.2749999999999995</v>
      </c>
      <c r="E101" s="71"/>
      <c r="F101" s="71">
        <f>D101*E101</f>
        <v>0</v>
      </c>
    </row>
    <row r="102" spans="1:6" s="4" customFormat="1" ht="15">
      <c r="A102" s="73"/>
      <c r="B102" s="91"/>
      <c r="C102" s="62"/>
      <c r="D102" s="60"/>
      <c r="E102" s="60"/>
      <c r="F102" s="60"/>
    </row>
    <row r="103" spans="1:6" s="4" customFormat="1" ht="51">
      <c r="A103" s="73">
        <v>2</v>
      </c>
      <c r="B103" s="101" t="s">
        <v>120</v>
      </c>
      <c r="C103" s="62"/>
      <c r="D103" s="71"/>
      <c r="E103" s="71"/>
      <c r="F103" s="71"/>
    </row>
    <row r="104" spans="1:6" s="4" customFormat="1" ht="15">
      <c r="A104" s="73"/>
      <c r="B104" s="106" t="s">
        <v>121</v>
      </c>
      <c r="C104" s="62" t="s">
        <v>61</v>
      </c>
      <c r="D104" s="71">
        <f>1.81+1.74+0.1*(5.37+5.42)</f>
        <v>4.6289999999999996</v>
      </c>
      <c r="E104" s="71"/>
      <c r="F104" s="71">
        <f>D104*E104</f>
        <v>0</v>
      </c>
    </row>
    <row r="105" spans="1:6" s="4" customFormat="1" ht="15">
      <c r="A105" s="73"/>
      <c r="B105"/>
      <c r="C105" s="62"/>
      <c r="D105" s="60"/>
      <c r="E105" s="59"/>
      <c r="F105" s="60"/>
    </row>
    <row r="106" spans="1:6" s="4" customFormat="1" ht="38.25">
      <c r="A106" s="104">
        <v>3</v>
      </c>
      <c r="B106" s="112" t="s">
        <v>122</v>
      </c>
      <c r="C106" s="62" t="s">
        <v>61</v>
      </c>
      <c r="D106" s="71">
        <f>5.5*9.05+6.2*1.5</f>
        <v>59.075000000000003</v>
      </c>
      <c r="E106" s="71"/>
      <c r="F106" s="71">
        <f>D106*E106</f>
        <v>0</v>
      </c>
    </row>
    <row r="107" spans="1:6" s="4" customFormat="1" ht="15">
      <c r="A107" s="73"/>
      <c r="B107"/>
      <c r="C107" s="62"/>
      <c r="D107" s="60"/>
      <c r="E107" s="60"/>
      <c r="F107" s="60"/>
    </row>
    <row r="108" spans="1:6" s="4" customFormat="1" ht="38.25">
      <c r="A108" s="104">
        <v>4</v>
      </c>
      <c r="B108" s="112" t="s">
        <v>123</v>
      </c>
      <c r="C108" s="62" t="s">
        <v>61</v>
      </c>
      <c r="D108" s="71">
        <f>5.5*9.05+6.2*1.5</f>
        <v>59.075000000000003</v>
      </c>
      <c r="E108" s="71"/>
      <c r="F108" s="71">
        <f>D108*E108</f>
        <v>0</v>
      </c>
    </row>
    <row r="109" spans="1:6" s="4" customFormat="1">
      <c r="A109" s="104"/>
      <c r="B109" s="93"/>
      <c r="C109" s="62"/>
      <c r="D109" s="60"/>
      <c r="E109" s="59"/>
      <c r="F109" s="60"/>
    </row>
    <row r="110" spans="1:6" s="4" customFormat="1" ht="15.6" customHeight="1">
      <c r="A110" s="85" t="s">
        <v>33</v>
      </c>
      <c r="B110" s="149" t="s">
        <v>124</v>
      </c>
      <c r="C110" s="149"/>
      <c r="D110" s="149"/>
      <c r="E110" s="149"/>
      <c r="F110" s="87">
        <f>SUM(F100:F109)</f>
        <v>0</v>
      </c>
    </row>
    <row r="111" spans="1:6" s="4" customFormat="1" ht="15.6" customHeight="1">
      <c r="A111" s="85"/>
      <c r="B111" s="86"/>
      <c r="C111" s="86"/>
      <c r="D111" s="86"/>
      <c r="E111" s="86"/>
      <c r="F111" s="87"/>
    </row>
    <row r="112" spans="1:6" s="4" customFormat="1" ht="15.6" customHeight="1">
      <c r="A112" s="85"/>
      <c r="B112"/>
      <c r="C112" s="86"/>
      <c r="D112" s="86"/>
      <c r="E112" s="86"/>
      <c r="F112" s="87"/>
    </row>
    <row r="113" spans="1:11" s="4" customFormat="1" ht="15.6" customHeight="1">
      <c r="A113" s="85" t="s">
        <v>35</v>
      </c>
      <c r="B113" s="149" t="s">
        <v>125</v>
      </c>
      <c r="C113" s="149"/>
      <c r="D113" s="149"/>
      <c r="E113" s="149"/>
      <c r="F113" s="87"/>
    </row>
    <row r="114" spans="1:11" s="4" customFormat="1" ht="15.6" customHeight="1">
      <c r="A114" s="85"/>
      <c r="B114" s="86"/>
      <c r="C114" s="86"/>
      <c r="D114" s="86"/>
      <c r="E114" s="86"/>
      <c r="F114" s="87"/>
    </row>
    <row r="115" spans="1:11" s="4" customFormat="1" ht="76.5">
      <c r="A115" s="73">
        <v>1</v>
      </c>
      <c r="B115" s="92" t="s">
        <v>126</v>
      </c>
    </row>
    <row r="116" spans="1:11" s="4" customFormat="1" ht="15.6" customHeight="1">
      <c r="A116" s="73"/>
      <c r="B116" s="4" t="s">
        <v>127</v>
      </c>
      <c r="C116" s="62" t="s">
        <v>63</v>
      </c>
      <c r="D116" s="71">
        <v>1</v>
      </c>
      <c r="E116" s="60"/>
      <c r="F116" s="60">
        <f>D116*E116</f>
        <v>0</v>
      </c>
    </row>
    <row r="117" spans="1:11" s="4" customFormat="1" ht="15.6" customHeight="1">
      <c r="A117" s="73"/>
      <c r="B117" s="91" t="s">
        <v>128</v>
      </c>
      <c r="C117" s="62" t="s">
        <v>63</v>
      </c>
      <c r="D117" s="71">
        <v>1</v>
      </c>
      <c r="E117" s="60"/>
      <c r="F117" s="60">
        <f>D117*E117</f>
        <v>0</v>
      </c>
    </row>
    <row r="118" spans="1:11" s="4" customFormat="1" ht="15.6" customHeight="1">
      <c r="A118" s="73"/>
      <c r="C118" s="62"/>
      <c r="D118" s="60"/>
      <c r="E118" s="60"/>
      <c r="F118" s="60"/>
    </row>
    <row r="119" spans="1:11" s="4" customFormat="1" ht="38.25">
      <c r="A119" s="73">
        <v>2</v>
      </c>
      <c r="B119" s="92" t="s">
        <v>129</v>
      </c>
      <c r="C119" s="62" t="s">
        <v>63</v>
      </c>
      <c r="D119" s="71">
        <v>1</v>
      </c>
      <c r="E119" s="71"/>
      <c r="F119" s="71">
        <f>D119*E119</f>
        <v>0</v>
      </c>
    </row>
    <row r="120" spans="1:11" s="4" customFormat="1" ht="15">
      <c r="A120" s="73"/>
      <c r="B120" s="113"/>
      <c r="C120" s="62"/>
      <c r="D120" s="60"/>
      <c r="E120" s="60"/>
      <c r="F120" s="60"/>
    </row>
    <row r="121" spans="1:11" s="4" customFormat="1" ht="51">
      <c r="A121" s="73">
        <v>3</v>
      </c>
      <c r="B121" s="114" t="s">
        <v>130</v>
      </c>
      <c r="C121" s="62" t="s">
        <v>63</v>
      </c>
      <c r="D121" s="71">
        <v>1</v>
      </c>
      <c r="E121" s="60"/>
      <c r="F121" s="60">
        <f>D121*E121</f>
        <v>0</v>
      </c>
    </row>
    <row r="122" spans="1:11" s="4" customFormat="1" ht="15">
      <c r="A122" s="73"/>
      <c r="B122" s="113"/>
      <c r="C122" s="62"/>
      <c r="D122" s="60"/>
      <c r="E122" s="60"/>
      <c r="F122" s="60"/>
    </row>
    <row r="123" spans="1:11" s="4" customFormat="1" ht="38.25">
      <c r="A123" s="73">
        <v>4</v>
      </c>
      <c r="B123" s="114" t="s">
        <v>131</v>
      </c>
      <c r="C123" s="62" t="s">
        <v>61</v>
      </c>
      <c r="D123" s="60">
        <f>25.29</f>
        <v>25.29</v>
      </c>
      <c r="E123" s="60"/>
      <c r="F123" s="60">
        <f>D123*E123</f>
        <v>0</v>
      </c>
    </row>
    <row r="124" spans="1:11" s="4" customFormat="1" ht="15">
      <c r="A124" s="73"/>
      <c r="B124"/>
      <c r="C124" s="62"/>
      <c r="D124" s="60"/>
      <c r="E124" s="60"/>
      <c r="F124" s="60"/>
    </row>
    <row r="125" spans="1:11" s="4" customFormat="1" ht="51">
      <c r="A125" s="73">
        <v>5</v>
      </c>
      <c r="B125" s="114" t="s">
        <v>132</v>
      </c>
      <c r="C125" s="62" t="s">
        <v>61</v>
      </c>
      <c r="D125" s="70">
        <f>(20.51+10.29+17.07+4+4)*0.6</f>
        <v>33.522000000000006</v>
      </c>
      <c r="E125" s="60"/>
      <c r="F125" s="60">
        <f>D125*E125</f>
        <v>0</v>
      </c>
    </row>
    <row r="126" spans="1:11" s="4" customFormat="1" ht="15">
      <c r="A126" s="73"/>
      <c r="B126"/>
      <c r="C126" s="62"/>
      <c r="D126" s="60"/>
      <c r="E126" s="60"/>
      <c r="F126" s="60"/>
    </row>
    <row r="127" spans="1:11" s="4" customFormat="1" ht="51">
      <c r="A127" s="73">
        <v>6</v>
      </c>
      <c r="B127" s="114" t="s">
        <v>133</v>
      </c>
      <c r="C127" s="62" t="s">
        <v>61</v>
      </c>
      <c r="D127" s="55">
        <f>(0.5*3.41)*8</f>
        <v>13.64</v>
      </c>
      <c r="E127" s="60"/>
      <c r="F127" s="60">
        <f>D127*E127</f>
        <v>0</v>
      </c>
      <c r="I127" s="115"/>
      <c r="J127" s="62"/>
      <c r="K127" s="55"/>
    </row>
    <row r="128" spans="1:11" s="4" customFormat="1" ht="15">
      <c r="A128" s="73"/>
      <c r="B128" s="114"/>
      <c r="C128" s="62"/>
      <c r="D128" s="55"/>
      <c r="E128" s="60"/>
      <c r="F128" s="60"/>
      <c r="I128" s="115"/>
      <c r="J128" s="62"/>
      <c r="K128" s="55"/>
    </row>
    <row r="129" spans="1:11" s="4" customFormat="1" ht="38.25">
      <c r="A129" s="73">
        <v>7</v>
      </c>
      <c r="B129" s="114" t="s">
        <v>134</v>
      </c>
      <c r="C129" s="62" t="s">
        <v>61</v>
      </c>
      <c r="D129" s="55">
        <f>0.78*3.7*2</f>
        <v>5.7720000000000002</v>
      </c>
      <c r="E129" s="60"/>
      <c r="F129" s="60">
        <f>D129*E129</f>
        <v>0</v>
      </c>
      <c r="I129" s="115"/>
      <c r="J129" s="62"/>
      <c r="K129" s="55"/>
    </row>
    <row r="130" spans="1:11" s="4" customFormat="1" ht="15">
      <c r="A130" s="73"/>
      <c r="B130" s="91"/>
      <c r="C130" s="62"/>
      <c r="D130" s="60"/>
      <c r="E130" s="60"/>
      <c r="F130" s="60"/>
      <c r="I130" s="115"/>
      <c r="J130" s="62"/>
      <c r="K130" s="55"/>
    </row>
    <row r="131" spans="1:11" s="4" customFormat="1" ht="63.75">
      <c r="A131" s="73">
        <v>8</v>
      </c>
      <c r="B131" s="114" t="s">
        <v>135</v>
      </c>
      <c r="C131" s="62" t="s">
        <v>61</v>
      </c>
      <c r="D131" s="55">
        <f>7.67*0.3*2</f>
        <v>4.6020000000000003</v>
      </c>
      <c r="E131" s="60"/>
      <c r="F131" s="60">
        <f>D131*E131</f>
        <v>0</v>
      </c>
      <c r="I131" s="115"/>
      <c r="J131" s="62"/>
      <c r="K131" s="55"/>
    </row>
    <row r="132" spans="1:11" s="4" customFormat="1" ht="15">
      <c r="A132" s="73"/>
      <c r="B132" s="114"/>
      <c r="C132" s="62"/>
      <c r="D132" s="60"/>
      <c r="E132" s="60"/>
      <c r="F132" s="60"/>
    </row>
    <row r="133" spans="1:11" s="4" customFormat="1" ht="38.25">
      <c r="A133" s="73">
        <v>9</v>
      </c>
      <c r="B133" s="91" t="s">
        <v>136</v>
      </c>
      <c r="C133" s="62" t="s">
        <v>61</v>
      </c>
      <c r="D133" s="60">
        <f>D108</f>
        <v>59.075000000000003</v>
      </c>
      <c r="E133" s="100"/>
      <c r="F133" s="60">
        <f>D133*E133</f>
        <v>0</v>
      </c>
    </row>
    <row r="134" spans="1:11" s="4" customFormat="1" ht="15">
      <c r="A134" s="73"/>
      <c r="B134" s="91"/>
      <c r="C134" s="62"/>
      <c r="D134" s="60"/>
      <c r="E134" s="60"/>
      <c r="F134" s="60"/>
    </row>
    <row r="135" spans="1:11" s="4" customFormat="1" ht="15.6" customHeight="1">
      <c r="A135" s="85" t="s">
        <v>35</v>
      </c>
      <c r="B135" s="149" t="s">
        <v>137</v>
      </c>
      <c r="C135" s="149"/>
      <c r="D135" s="149"/>
      <c r="E135" s="149"/>
      <c r="F135" s="87">
        <f>SUM(F115:F134)</f>
        <v>0</v>
      </c>
    </row>
    <row r="136" spans="1:11" s="4" customFormat="1" ht="15.6" customHeight="1">
      <c r="A136" s="85"/>
      <c r="B136" s="86"/>
      <c r="C136" s="86"/>
      <c r="D136" s="86"/>
      <c r="E136" s="86"/>
      <c r="F136" s="87"/>
    </row>
    <row r="137" spans="1:11" s="4" customFormat="1" ht="15.6" customHeight="1">
      <c r="A137"/>
      <c r="B137"/>
      <c r="C137"/>
      <c r="D137"/>
      <c r="E137"/>
      <c r="F137" s="87"/>
    </row>
    <row r="138" spans="1:11" s="4" customFormat="1" ht="15.6" customHeight="1">
      <c r="A138" s="85" t="s">
        <v>37</v>
      </c>
      <c r="B138" s="149" t="s">
        <v>138</v>
      </c>
      <c r="C138" s="149"/>
      <c r="D138" s="149"/>
      <c r="E138" s="149"/>
      <c r="F138" s="87"/>
    </row>
    <row r="139" spans="1:11" s="4" customFormat="1" ht="15.6" customHeight="1">
      <c r="A139" s="85"/>
      <c r="B139" s="86"/>
      <c r="C139" s="86"/>
      <c r="D139" s="86"/>
      <c r="E139" s="86"/>
      <c r="F139" s="87"/>
    </row>
    <row r="140" spans="1:11" s="4" customFormat="1" ht="38.25">
      <c r="A140" s="73">
        <v>1</v>
      </c>
      <c r="B140" s="114" t="s">
        <v>139</v>
      </c>
      <c r="C140" s="62" t="s">
        <v>61</v>
      </c>
      <c r="D140" s="71">
        <f>11*8.31+26.28*2</f>
        <v>143.97000000000003</v>
      </c>
      <c r="E140" s="71"/>
      <c r="F140" s="71">
        <f>D140*E140</f>
        <v>0</v>
      </c>
    </row>
    <row r="141" spans="1:11" s="4" customFormat="1" ht="15.6" customHeight="1">
      <c r="A141" s="85"/>
      <c r="B141" s="86"/>
      <c r="C141" s="86"/>
      <c r="D141" s="86"/>
      <c r="E141" s="86"/>
      <c r="F141" s="87"/>
    </row>
    <row r="142" spans="1:11" s="4" customFormat="1" ht="51">
      <c r="A142" s="73">
        <v>2</v>
      </c>
      <c r="B142" s="92" t="s">
        <v>140</v>
      </c>
      <c r="C142" s="62" t="s">
        <v>63</v>
      </c>
      <c r="D142" s="71">
        <f>0.73*5+(5.4*0.25*4)</f>
        <v>9.0500000000000007</v>
      </c>
      <c r="E142" s="71"/>
      <c r="F142" s="71">
        <f>D142*E142</f>
        <v>0</v>
      </c>
    </row>
    <row r="143" spans="1:11" s="4" customFormat="1" ht="15.75">
      <c r="A143" s="85"/>
      <c r="B143" s="86"/>
      <c r="C143" s="86"/>
      <c r="D143" s="86"/>
      <c r="E143" s="86"/>
      <c r="F143" s="87"/>
    </row>
    <row r="144" spans="1:11" s="4" customFormat="1" ht="38.25">
      <c r="A144" s="73">
        <v>3</v>
      </c>
      <c r="B144" s="92" t="s">
        <v>141</v>
      </c>
      <c r="C144" s="62" t="s">
        <v>61</v>
      </c>
      <c r="D144" s="71">
        <f>21.3*1.6</f>
        <v>34.080000000000005</v>
      </c>
      <c r="E144" s="71"/>
      <c r="F144" s="71">
        <f>D144*E144</f>
        <v>0</v>
      </c>
    </row>
    <row r="145" spans="1:6" s="4" customFormat="1" ht="15.6" customHeight="1">
      <c r="A145" s="85"/>
      <c r="B145" s="86"/>
      <c r="C145" s="86"/>
      <c r="D145" s="86"/>
      <c r="E145" s="86"/>
      <c r="F145" s="87"/>
    </row>
    <row r="146" spans="1:6" s="4" customFormat="1" ht="15.6" customHeight="1">
      <c r="A146" s="85" t="s">
        <v>35</v>
      </c>
      <c r="B146" s="149" t="s">
        <v>142</v>
      </c>
      <c r="C146" s="149"/>
      <c r="D146" s="149"/>
      <c r="E146" s="149"/>
      <c r="F146" s="87">
        <f>SUM(F126:F145)</f>
        <v>0</v>
      </c>
    </row>
    <row r="147" spans="1:6" s="4" customFormat="1" ht="15.6" customHeight="1">
      <c r="A147" s="85"/>
      <c r="B147" s="86"/>
      <c r="C147" s="86"/>
      <c r="D147" s="86"/>
      <c r="E147" s="86"/>
      <c r="F147" s="87"/>
    </row>
    <row r="148" spans="1:6" s="4" customFormat="1" ht="15.6" customHeight="1">
      <c r="A148" s="85"/>
      <c r="B148" s="86"/>
      <c r="C148" s="86"/>
      <c r="D148" s="86"/>
      <c r="E148" s="86"/>
      <c r="F148" s="87"/>
    </row>
    <row r="149" spans="1:6" s="4" customFormat="1" ht="15.6" customHeight="1">
      <c r="A149" s="73" t="s">
        <v>51</v>
      </c>
      <c r="B149" s="150" t="s">
        <v>143</v>
      </c>
      <c r="C149" s="150"/>
      <c r="D149" s="150"/>
      <c r="E149" s="150"/>
      <c r="F149" s="116">
        <f>F31+F62+F85+F94+F110+F135</f>
        <v>0</v>
      </c>
    </row>
    <row r="151" spans="1:6" s="4" customFormat="1" ht="15.6" customHeight="1">
      <c r="A151"/>
      <c r="B151"/>
      <c r="C151"/>
      <c r="D151"/>
      <c r="E151"/>
      <c r="F151"/>
    </row>
    <row r="152" spans="1:6" s="4" customFormat="1" ht="15">
      <c r="A152" s="73"/>
      <c r="B152" s="91"/>
      <c r="C152" s="58"/>
      <c r="D152" s="117"/>
      <c r="E152" s="111"/>
      <c r="F152" s="60"/>
    </row>
    <row r="153" spans="1:6" s="4" customFormat="1" ht="15.6" customHeight="1">
      <c r="A153" s="73" t="s">
        <v>144</v>
      </c>
      <c r="B153" s="149" t="s">
        <v>145</v>
      </c>
      <c r="C153" s="149"/>
      <c r="D153" s="149"/>
      <c r="E153" s="149"/>
      <c r="F153" s="60"/>
    </row>
    <row r="154" spans="1:6" s="4" customFormat="1" ht="15">
      <c r="A154" s="73"/>
      <c r="B154"/>
      <c r="C154" s="111"/>
      <c r="D154" s="117"/>
      <c r="E154" s="111"/>
      <c r="F154" s="60"/>
    </row>
    <row r="155" spans="1:6" s="4" customFormat="1" ht="15.75">
      <c r="A155" s="85" t="s">
        <v>25</v>
      </c>
      <c r="B155" s="88" t="s">
        <v>146</v>
      </c>
      <c r="C155" s="58"/>
      <c r="D155" s="60"/>
      <c r="E155" s="60"/>
      <c r="F155" s="60"/>
    </row>
    <row r="156" spans="1:6" s="4" customFormat="1" ht="15.75">
      <c r="A156" s="85"/>
      <c r="B156" s="88"/>
      <c r="C156" s="58"/>
      <c r="D156" s="60"/>
      <c r="E156" s="60"/>
      <c r="F156" s="60">
        <f t="shared" ref="F156:F163" si="0">D156*E156</f>
        <v>0</v>
      </c>
    </row>
    <row r="157" spans="1:6" s="4" customFormat="1" ht="51">
      <c r="A157" s="73">
        <v>1</v>
      </c>
      <c r="B157" s="114" t="s">
        <v>147</v>
      </c>
      <c r="C157" s="58" t="s">
        <v>148</v>
      </c>
      <c r="D157" s="60">
        <f>4.03+0.73+3.34+3.96</f>
        <v>12.059999999999999</v>
      </c>
      <c r="E157" s="60"/>
      <c r="F157" s="60">
        <f t="shared" si="0"/>
        <v>0</v>
      </c>
    </row>
    <row r="158" spans="1:6" s="4" customFormat="1" ht="15.75">
      <c r="A158" s="85"/>
      <c r="B158" s="88"/>
      <c r="C158" s="58"/>
      <c r="D158" s="60"/>
      <c r="E158" s="60"/>
      <c r="F158" s="60">
        <f t="shared" si="0"/>
        <v>0</v>
      </c>
    </row>
    <row r="159" spans="1:6" s="4" customFormat="1" ht="51">
      <c r="A159" s="73">
        <v>2</v>
      </c>
      <c r="B159" s="114" t="s">
        <v>149</v>
      </c>
      <c r="C159" s="58" t="s">
        <v>148</v>
      </c>
      <c r="D159" s="60">
        <f>6*4</f>
        <v>24</v>
      </c>
      <c r="E159" s="60"/>
      <c r="F159" s="60">
        <f t="shared" si="0"/>
        <v>0</v>
      </c>
    </row>
    <row r="160" spans="1:6" s="4" customFormat="1" ht="15.6" customHeight="1">
      <c r="A160" s="73"/>
      <c r="C160" s="58"/>
      <c r="D160" s="60"/>
      <c r="E160" s="60"/>
      <c r="F160" s="60">
        <f t="shared" si="0"/>
        <v>0</v>
      </c>
    </row>
    <row r="161" spans="1:6" ht="63.75">
      <c r="A161" s="73">
        <v>3</v>
      </c>
      <c r="B161" s="118" t="s">
        <v>150</v>
      </c>
      <c r="C161" s="58" t="s">
        <v>148</v>
      </c>
      <c r="D161" s="55">
        <f>31.41</f>
        <v>31.41</v>
      </c>
      <c r="E161" s="97"/>
      <c r="F161" s="97">
        <f t="shared" si="0"/>
        <v>0</v>
      </c>
    </row>
    <row r="162" spans="1:6" ht="15">
      <c r="A162" s="73"/>
      <c r="B162" s="118"/>
      <c r="C162" s="58"/>
      <c r="D162" s="55"/>
      <c r="E162" s="97"/>
      <c r="F162" s="97">
        <f t="shared" si="0"/>
        <v>0</v>
      </c>
    </row>
    <row r="163" spans="1:6" ht="63.75">
      <c r="A163" s="73">
        <v>4</v>
      </c>
      <c r="B163" s="118" t="s">
        <v>151</v>
      </c>
      <c r="C163" s="58" t="s">
        <v>148</v>
      </c>
      <c r="D163" s="55">
        <f>3.7*4</f>
        <v>14.8</v>
      </c>
      <c r="E163" s="97"/>
      <c r="F163" s="97">
        <f t="shared" si="0"/>
        <v>0</v>
      </c>
    </row>
    <row r="164" spans="1:6" ht="15">
      <c r="A164" s="73"/>
      <c r="B164" s="118"/>
      <c r="C164" s="58"/>
      <c r="D164" s="55"/>
      <c r="E164" s="97"/>
      <c r="F164" s="97">
        <f>SUM(F156:F160)</f>
        <v>0</v>
      </c>
    </row>
    <row r="165" spans="1:6" s="4" customFormat="1" ht="15.6" customHeight="1">
      <c r="A165" s="85" t="s">
        <v>25</v>
      </c>
      <c r="B165" s="149" t="s">
        <v>152</v>
      </c>
      <c r="C165" s="149"/>
      <c r="D165" s="149"/>
      <c r="E165" s="149"/>
      <c r="F165" s="87">
        <f>SUM(F157:F161)</f>
        <v>0</v>
      </c>
    </row>
    <row r="166" spans="1:6" s="4" customFormat="1" ht="15">
      <c r="A166" s="73"/>
      <c r="B166" s="91"/>
      <c r="C166" s="58"/>
      <c r="D166" s="60"/>
      <c r="E166" s="60"/>
      <c r="F166" s="60"/>
    </row>
    <row r="167" spans="1:6" s="4" customFormat="1" ht="15.6" customHeight="1">
      <c r="A167" s="73"/>
      <c r="B167"/>
      <c r="C167" s="58"/>
      <c r="D167" s="60"/>
      <c r="E167" s="60"/>
      <c r="F167" s="60"/>
    </row>
    <row r="168" spans="1:6" s="4" customFormat="1" ht="15.6" customHeight="1">
      <c r="A168" s="85" t="s">
        <v>27</v>
      </c>
      <c r="B168" s="151" t="s">
        <v>153</v>
      </c>
      <c r="C168" s="151"/>
      <c r="D168" s="151"/>
      <c r="E168" s="151"/>
      <c r="F168" s="60"/>
    </row>
    <row r="169" spans="1:6" s="4" customFormat="1">
      <c r="A169" s="89"/>
      <c r="B169" s="90"/>
      <c r="C169" s="58"/>
      <c r="D169" s="59"/>
      <c r="E169" s="60"/>
      <c r="F169" s="60"/>
    </row>
    <row r="170" spans="1:6" s="4" customFormat="1" ht="89.25">
      <c r="A170" s="73">
        <v>1</v>
      </c>
      <c r="B170" s="92" t="s">
        <v>154</v>
      </c>
      <c r="C170" s="102"/>
      <c r="D170" s="102"/>
      <c r="E170" s="102"/>
      <c r="F170" s="102">
        <f>D170*E170</f>
        <v>0</v>
      </c>
    </row>
    <row r="171" spans="1:6" s="4" customFormat="1" ht="14.85" customHeight="1">
      <c r="A171" s="73"/>
      <c r="B171" s="101" t="s">
        <v>155</v>
      </c>
      <c r="C171" s="99" t="s">
        <v>156</v>
      </c>
      <c r="D171" s="71">
        <v>1</v>
      </c>
      <c r="E171" s="71"/>
      <c r="F171" s="71">
        <f>D171*E171</f>
        <v>0</v>
      </c>
    </row>
    <row r="172" spans="1:6" s="4" customFormat="1" ht="14.85" customHeight="1">
      <c r="A172" s="73"/>
      <c r="B172" s="101"/>
      <c r="C172" s="99"/>
      <c r="D172" s="71"/>
      <c r="E172" s="71"/>
      <c r="F172" s="71"/>
    </row>
    <row r="173" spans="1:6" s="4" customFormat="1" ht="89.25">
      <c r="A173" s="73">
        <v>2</v>
      </c>
      <c r="B173" s="92" t="s">
        <v>157</v>
      </c>
      <c r="C173" s="102"/>
      <c r="D173" s="102"/>
      <c r="E173" s="102"/>
      <c r="F173" s="102"/>
    </row>
    <row r="174" spans="1:6" s="4" customFormat="1" ht="14.85" customHeight="1">
      <c r="A174" s="73"/>
      <c r="B174" s="101" t="s">
        <v>158</v>
      </c>
      <c r="C174" s="99"/>
      <c r="D174" s="71"/>
      <c r="E174" s="71"/>
      <c r="F174" s="102">
        <f>D173*E173</f>
        <v>0</v>
      </c>
    </row>
    <row r="175" spans="1:6" s="4" customFormat="1" ht="14.85" customHeight="1">
      <c r="A175" s="73"/>
      <c r="B175" s="101" t="s">
        <v>159</v>
      </c>
      <c r="C175" s="99" t="s">
        <v>156</v>
      </c>
      <c r="D175" s="71">
        <v>2</v>
      </c>
      <c r="E175" s="71"/>
      <c r="F175" s="71">
        <f>D174*E174</f>
        <v>0</v>
      </c>
    </row>
    <row r="176" spans="1:6" s="4" customFormat="1" ht="14.85" customHeight="1">
      <c r="A176" s="73"/>
      <c r="B176" s="101"/>
      <c r="C176" s="99"/>
      <c r="D176" s="71"/>
      <c r="E176" s="71"/>
      <c r="F176" s="71"/>
    </row>
    <row r="177" spans="1:9" s="4" customFormat="1" ht="63.75">
      <c r="A177" s="73">
        <v>3</v>
      </c>
      <c r="B177" s="92" t="s">
        <v>160</v>
      </c>
      <c r="C177" s="102"/>
      <c r="D177" s="102"/>
      <c r="E177" s="102"/>
      <c r="F177" s="102"/>
    </row>
    <row r="178" spans="1:9" s="4" customFormat="1" ht="14.85" customHeight="1">
      <c r="A178" s="73"/>
      <c r="B178" s="101" t="s">
        <v>161</v>
      </c>
      <c r="C178" s="99"/>
      <c r="D178" s="71"/>
      <c r="E178" s="71"/>
      <c r="F178" s="102">
        <f>D177*E177</f>
        <v>0</v>
      </c>
    </row>
    <row r="179" spans="1:9" s="4" customFormat="1">
      <c r="A179" s="89"/>
      <c r="B179" s="101" t="s">
        <v>162</v>
      </c>
      <c r="C179" s="99" t="s">
        <v>156</v>
      </c>
      <c r="D179" s="71">
        <v>1</v>
      </c>
      <c r="E179" s="71"/>
      <c r="F179" s="71">
        <f>D178*E178</f>
        <v>0</v>
      </c>
    </row>
    <row r="180" spans="1:9" s="4" customFormat="1" ht="15">
      <c r="A180" s="73"/>
      <c r="B180" s="92"/>
      <c r="C180" s="102"/>
      <c r="D180" s="102"/>
      <c r="E180" s="102"/>
      <c r="F180" s="102"/>
    </row>
    <row r="181" spans="1:9" s="4" customFormat="1" ht="126.2" customHeight="1">
      <c r="A181" s="73">
        <v>4</v>
      </c>
      <c r="B181" s="92" t="s">
        <v>163</v>
      </c>
      <c r="C181" s="102"/>
      <c r="D181" s="102"/>
      <c r="E181" s="102"/>
      <c r="F181" s="102"/>
    </row>
    <row r="182" spans="1:9" s="4" customFormat="1" ht="14.85" customHeight="1">
      <c r="A182" s="73"/>
      <c r="B182" s="101" t="s">
        <v>164</v>
      </c>
      <c r="C182" s="99" t="s">
        <v>156</v>
      </c>
      <c r="D182" s="71">
        <v>8</v>
      </c>
      <c r="E182" s="71"/>
      <c r="F182" s="71">
        <v>0</v>
      </c>
    </row>
    <row r="183" spans="1:9" s="4" customFormat="1" ht="14.25">
      <c r="A183" s="89"/>
      <c r="B183" s="119"/>
      <c r="C183" s="58"/>
      <c r="D183" s="60"/>
      <c r="E183" s="59"/>
      <c r="F183" s="60">
        <f>SUM(F170:F181)</f>
        <v>0</v>
      </c>
    </row>
    <row r="184" spans="1:9" s="4" customFormat="1" ht="15.6" customHeight="1">
      <c r="A184" s="85" t="s">
        <v>27</v>
      </c>
      <c r="B184" s="149" t="s">
        <v>165</v>
      </c>
      <c r="C184" s="149"/>
      <c r="D184" s="149"/>
      <c r="E184" s="149"/>
      <c r="F184" s="87">
        <f>SUM(F171:F182)</f>
        <v>0</v>
      </c>
    </row>
    <row r="185" spans="1:9" s="4" customFormat="1" ht="15.6" customHeight="1">
      <c r="A185" s="85"/>
      <c r="B185"/>
      <c r="C185" s="86"/>
      <c r="D185" s="86"/>
      <c r="E185" s="86"/>
      <c r="F185" s="87"/>
    </row>
    <row r="186" spans="1:9" s="4" customFormat="1" ht="15.6" customHeight="1">
      <c r="A186" s="89"/>
      <c r="B186" s="90"/>
      <c r="C186" s="58"/>
      <c r="D186" s="59"/>
      <c r="E186" s="59"/>
      <c r="F186" s="60"/>
    </row>
    <row r="187" spans="1:9" s="4" customFormat="1" ht="15.75">
      <c r="A187" s="85" t="s">
        <v>29</v>
      </c>
      <c r="B187" s="88" t="s">
        <v>166</v>
      </c>
      <c r="C187" s="58"/>
      <c r="D187" s="59"/>
      <c r="E187" s="59"/>
      <c r="F187" s="60"/>
      <c r="I187" s="62"/>
    </row>
    <row r="188" spans="1:9" s="4" customFormat="1">
      <c r="A188" s="89"/>
      <c r="B188" s="91"/>
      <c r="C188" s="58"/>
      <c r="D188" s="59"/>
      <c r="E188" s="59"/>
      <c r="F188" s="60"/>
      <c r="I188" s="62"/>
    </row>
    <row r="189" spans="1:9" s="4" customFormat="1" ht="116.25" customHeight="1">
      <c r="A189" s="73">
        <v>1</v>
      </c>
      <c r="B189" s="92" t="s">
        <v>167</v>
      </c>
      <c r="C189" s="102"/>
      <c r="D189" s="102"/>
      <c r="E189" s="102"/>
      <c r="F189" s="102">
        <f>D189*E189</f>
        <v>0</v>
      </c>
      <c r="I189" s="58"/>
    </row>
    <row r="190" spans="1:9" s="4" customFormat="1" ht="15">
      <c r="A190" s="73"/>
      <c r="B190" s="101" t="s">
        <v>168</v>
      </c>
      <c r="C190" s="62" t="s">
        <v>61</v>
      </c>
      <c r="D190" s="71">
        <f>2.7*5.49</f>
        <v>14.823000000000002</v>
      </c>
      <c r="E190" s="71"/>
      <c r="F190" s="71">
        <f>D190*E190</f>
        <v>0</v>
      </c>
      <c r="I190" s="58"/>
    </row>
    <row r="191" spans="1:9" s="4" customFormat="1" ht="15">
      <c r="A191" s="73"/>
      <c r="B191" s="101" t="s">
        <v>169</v>
      </c>
      <c r="C191" s="62" t="s">
        <v>61</v>
      </c>
      <c r="D191" s="71">
        <f>2.7*5.52</f>
        <v>14.904</v>
      </c>
      <c r="E191" s="71"/>
      <c r="F191" s="71">
        <f>D191*E191</f>
        <v>0</v>
      </c>
      <c r="I191" s="58"/>
    </row>
    <row r="192" spans="1:9" s="4" customFormat="1" ht="15">
      <c r="A192" s="73"/>
      <c r="B192" s="101" t="s">
        <v>170</v>
      </c>
      <c r="C192" s="62" t="s">
        <v>61</v>
      </c>
      <c r="D192" s="71">
        <f>D190+D191</f>
        <v>29.727000000000004</v>
      </c>
      <c r="E192" s="71"/>
      <c r="F192" s="71">
        <f>D192*E192</f>
        <v>0</v>
      </c>
      <c r="I192" s="58"/>
    </row>
    <row r="193" spans="1:6" s="4" customFormat="1" ht="12.95" customHeight="1">
      <c r="A193" s="73"/>
      <c r="B193" s="110"/>
      <c r="C193" s="62"/>
      <c r="D193" s="60"/>
      <c r="E193" s="60"/>
      <c r="F193" s="60">
        <f>SUM(F188:F192)</f>
        <v>0</v>
      </c>
    </row>
    <row r="194" spans="1:6" s="4" customFormat="1" ht="15.6" customHeight="1">
      <c r="A194" s="85" t="s">
        <v>29</v>
      </c>
      <c r="B194" s="149" t="s">
        <v>171</v>
      </c>
      <c r="C194" s="149"/>
      <c r="D194" s="149"/>
      <c r="E194" s="149"/>
      <c r="F194" s="87">
        <f>SUM(F189:F193)</f>
        <v>0</v>
      </c>
    </row>
    <row r="195" spans="1:6" s="4" customFormat="1" ht="15.6" customHeight="1">
      <c r="A195" s="85"/>
      <c r="B195" s="86"/>
      <c r="C195" s="86"/>
      <c r="D195" s="86"/>
      <c r="E195" s="86"/>
      <c r="F195" s="87"/>
    </row>
    <row r="196" spans="1:6" s="4" customFormat="1">
      <c r="A196" s="89"/>
      <c r="B196"/>
      <c r="C196" s="58"/>
      <c r="D196" s="60"/>
      <c r="E196" s="60"/>
      <c r="F196" s="60"/>
    </row>
    <row r="197" spans="1:6" s="4" customFormat="1" ht="15.6" customHeight="1">
      <c r="A197" s="85" t="s">
        <v>31</v>
      </c>
      <c r="B197" s="149" t="s">
        <v>172</v>
      </c>
      <c r="C197" s="149"/>
      <c r="D197" s="149"/>
      <c r="E197" s="149"/>
      <c r="F197" s="60"/>
    </row>
    <row r="198" spans="1:6" s="4" customFormat="1" ht="15">
      <c r="A198" s="73"/>
      <c r="B198" s="120"/>
      <c r="C198" s="58"/>
      <c r="D198" s="60"/>
      <c r="E198" s="60"/>
      <c r="F198" s="60"/>
    </row>
    <row r="199" spans="1:6" s="4" customFormat="1" ht="73.150000000000006" customHeight="1">
      <c r="A199" s="73">
        <v>1</v>
      </c>
      <c r="B199" s="121" t="s">
        <v>173</v>
      </c>
      <c r="C199" s="99"/>
      <c r="D199" s="71"/>
      <c r="E199" s="71"/>
      <c r="F199" s="71">
        <f t="shared" ref="F199:F205" si="1">D199*E199</f>
        <v>0</v>
      </c>
    </row>
    <row r="200" spans="1:6" s="4" customFormat="1" ht="15">
      <c r="A200" s="73"/>
      <c r="B200" s="122" t="s">
        <v>174</v>
      </c>
      <c r="C200" s="99" t="s">
        <v>156</v>
      </c>
      <c r="D200" s="71">
        <v>1</v>
      </c>
      <c r="E200" s="71"/>
      <c r="F200" s="71">
        <f t="shared" si="1"/>
        <v>0</v>
      </c>
    </row>
    <row r="201" spans="1:6" s="4" customFormat="1" ht="15">
      <c r="A201" s="73"/>
      <c r="B201" s="122" t="s">
        <v>175</v>
      </c>
      <c r="C201" s="99" t="s">
        <v>156</v>
      </c>
      <c r="D201" s="71">
        <v>2</v>
      </c>
      <c r="E201" s="71"/>
      <c r="F201" s="71">
        <f t="shared" si="1"/>
        <v>0</v>
      </c>
    </row>
    <row r="202" spans="1:6" s="4" customFormat="1" ht="15">
      <c r="A202" s="73"/>
      <c r="B202" s="122"/>
      <c r="C202" s="99"/>
      <c r="D202" s="71"/>
      <c r="E202" s="71"/>
      <c r="F202" s="71">
        <f t="shared" si="1"/>
        <v>0</v>
      </c>
    </row>
    <row r="203" spans="1:6" s="4" customFormat="1" ht="61.15" customHeight="1">
      <c r="A203" s="73">
        <v>2</v>
      </c>
      <c r="B203" s="121" t="s">
        <v>176</v>
      </c>
      <c r="C203" s="62" t="s">
        <v>148</v>
      </c>
      <c r="D203" s="71">
        <f>6.8*8</f>
        <v>54.4</v>
      </c>
      <c r="E203" s="71"/>
      <c r="F203" s="71">
        <f t="shared" si="1"/>
        <v>0</v>
      </c>
    </row>
    <row r="204" spans="1:6" s="4" customFormat="1" ht="15">
      <c r="A204" s="73"/>
      <c r="B204" s="123"/>
      <c r="C204" s="62"/>
      <c r="D204" s="71"/>
      <c r="E204" s="71"/>
      <c r="F204" s="71">
        <f t="shared" si="1"/>
        <v>0</v>
      </c>
    </row>
    <row r="205" spans="1:6" s="4" customFormat="1" ht="89.25">
      <c r="A205" s="73">
        <v>3</v>
      </c>
      <c r="B205" s="121" t="s">
        <v>177</v>
      </c>
      <c r="C205" s="62" t="s">
        <v>61</v>
      </c>
      <c r="D205" s="96">
        <f>2.1+1.5+1.7</f>
        <v>5.3</v>
      </c>
      <c r="E205" s="80"/>
      <c r="F205" s="80">
        <f t="shared" si="1"/>
        <v>0</v>
      </c>
    </row>
    <row r="206" spans="1:6" s="4" customFormat="1" ht="15">
      <c r="A206" s="73"/>
      <c r="B206" s="121"/>
      <c r="C206" s="62"/>
      <c r="D206" s="96"/>
      <c r="E206" s="80"/>
      <c r="F206" s="80"/>
    </row>
    <row r="207" spans="1:6" s="4" customFormat="1" ht="63.75">
      <c r="A207" s="73">
        <v>4</v>
      </c>
      <c r="B207" s="121" t="s">
        <v>178</v>
      </c>
      <c r="C207" s="62"/>
      <c r="D207" s="96"/>
      <c r="E207" s="80"/>
      <c r="F207" s="80"/>
    </row>
    <row r="208" spans="1:6" s="4" customFormat="1" ht="15">
      <c r="A208" s="73"/>
      <c r="B208" s="121"/>
      <c r="C208" s="62"/>
      <c r="D208" s="96"/>
      <c r="E208" s="80"/>
      <c r="F208" s="80"/>
    </row>
    <row r="209" spans="1:6" s="4" customFormat="1" ht="25.5">
      <c r="A209" s="73"/>
      <c r="B209" s="121" t="s">
        <v>179</v>
      </c>
      <c r="C209" s="62" t="s">
        <v>156</v>
      </c>
      <c r="D209" s="96">
        <v>179</v>
      </c>
      <c r="E209" s="80"/>
      <c r="F209" s="80">
        <v>0</v>
      </c>
    </row>
    <row r="210" spans="1:6" s="4" customFormat="1" ht="15">
      <c r="A210" s="73"/>
      <c r="B210" s="121" t="s">
        <v>180</v>
      </c>
      <c r="C210" s="62" t="s">
        <v>156</v>
      </c>
      <c r="D210" s="96">
        <v>178</v>
      </c>
      <c r="E210" s="80"/>
      <c r="F210" s="80">
        <v>0</v>
      </c>
    </row>
    <row r="211" spans="1:6" s="4" customFormat="1" ht="25.5">
      <c r="A211" s="73"/>
      <c r="B211" s="121" t="s">
        <v>181</v>
      </c>
      <c r="C211" s="62" t="s">
        <v>156</v>
      </c>
      <c r="D211" s="96">
        <v>16</v>
      </c>
      <c r="E211" s="80"/>
      <c r="F211" s="80">
        <v>0</v>
      </c>
    </row>
    <row r="212" spans="1:6" s="4" customFormat="1" ht="15">
      <c r="A212" s="73"/>
      <c r="B212" s="121" t="s">
        <v>182</v>
      </c>
      <c r="C212" s="62" t="s">
        <v>156</v>
      </c>
      <c r="D212" s="96">
        <v>18</v>
      </c>
      <c r="E212" s="80"/>
      <c r="F212" s="80">
        <v>0</v>
      </c>
    </row>
    <row r="213" spans="1:6" s="4" customFormat="1" ht="25.5">
      <c r="A213" s="73"/>
      <c r="B213" s="121" t="s">
        <v>183</v>
      </c>
      <c r="C213" s="62" t="s">
        <v>156</v>
      </c>
      <c r="D213" s="96">
        <v>20</v>
      </c>
      <c r="E213" s="80"/>
      <c r="F213" s="80">
        <v>0</v>
      </c>
    </row>
    <row r="214" spans="1:6" s="4" customFormat="1" ht="15">
      <c r="A214" s="73"/>
      <c r="B214" s="121" t="s">
        <v>184</v>
      </c>
      <c r="C214" s="62" t="s">
        <v>156</v>
      </c>
      <c r="D214" s="96">
        <v>22</v>
      </c>
      <c r="E214" s="80"/>
      <c r="F214" s="80">
        <v>0</v>
      </c>
    </row>
    <row r="215" spans="1:6" s="4" customFormat="1" ht="25.5">
      <c r="A215" s="73"/>
      <c r="B215" s="121" t="s">
        <v>185</v>
      </c>
      <c r="C215" s="62" t="s">
        <v>156</v>
      </c>
      <c r="D215" s="96">
        <v>4</v>
      </c>
      <c r="E215" s="80"/>
      <c r="F215" s="80">
        <v>0</v>
      </c>
    </row>
    <row r="216" spans="1:6" s="4" customFormat="1" ht="15">
      <c r="A216" s="73"/>
      <c r="B216" s="121"/>
      <c r="C216" s="62"/>
      <c r="D216" s="96"/>
      <c r="E216" s="80"/>
      <c r="F216" s="80"/>
    </row>
    <row r="217" spans="1:6" s="4" customFormat="1" ht="51">
      <c r="A217" s="73">
        <v>5</v>
      </c>
      <c r="B217" s="121" t="s">
        <v>186</v>
      </c>
      <c r="C217" s="62" t="s">
        <v>187</v>
      </c>
      <c r="D217" s="96">
        <v>16.77</v>
      </c>
      <c r="E217" s="80"/>
      <c r="F217" s="80">
        <v>0</v>
      </c>
    </row>
    <row r="218" spans="1:6" s="4" customFormat="1" ht="15">
      <c r="A218" s="73"/>
      <c r="B218" s="120"/>
      <c r="C218" s="58"/>
      <c r="D218" s="60"/>
      <c r="E218" s="60"/>
      <c r="F218" s="60">
        <f>SUM(F198:F202)</f>
        <v>0</v>
      </c>
    </row>
    <row r="219" spans="1:6" s="4" customFormat="1" ht="15.6" customHeight="1">
      <c r="A219" s="85" t="s">
        <v>31</v>
      </c>
      <c r="B219" s="149" t="s">
        <v>188</v>
      </c>
      <c r="C219" s="149"/>
      <c r="D219" s="149"/>
      <c r="E219" s="149"/>
      <c r="F219" s="87">
        <f>SUM(F199:F203)</f>
        <v>0</v>
      </c>
    </row>
    <row r="220" spans="1:6" s="4" customFormat="1" ht="15">
      <c r="A220" s="73"/>
      <c r="B220" s="91"/>
      <c r="C220" s="58"/>
      <c r="D220" s="60"/>
      <c r="E220" s="60"/>
      <c r="F220" s="60"/>
    </row>
    <row r="221" spans="1:6" s="4" customFormat="1" ht="15.6" customHeight="1">
      <c r="A221" s="73"/>
      <c r="B221"/>
      <c r="C221" s="58"/>
      <c r="D221" s="60"/>
      <c r="E221" s="60"/>
      <c r="F221" s="60"/>
    </row>
    <row r="222" spans="1:6" s="4" customFormat="1" ht="15.6" customHeight="1">
      <c r="A222" s="85" t="s">
        <v>33</v>
      </c>
      <c r="B222" s="149" t="s">
        <v>189</v>
      </c>
      <c r="C222" s="149"/>
      <c r="D222" s="149"/>
      <c r="E222" s="149"/>
      <c r="F222" s="60"/>
    </row>
    <row r="223" spans="1:6" s="4" customFormat="1" ht="15.75">
      <c r="A223" s="85"/>
      <c r="B223" s="86"/>
      <c r="C223" s="86"/>
      <c r="D223" s="86"/>
      <c r="E223" s="124"/>
      <c r="F223" s="60">
        <f>D223*E223</f>
        <v>0</v>
      </c>
    </row>
    <row r="224" spans="1:6" ht="73.150000000000006" customHeight="1">
      <c r="A224" s="73">
        <v>1</v>
      </c>
      <c r="B224" s="94" t="s">
        <v>190</v>
      </c>
      <c r="C224" s="62" t="s">
        <v>61</v>
      </c>
      <c r="D224" s="96">
        <f>6.35*2.7+19.39*3.5</f>
        <v>85.01</v>
      </c>
      <c r="E224" s="80"/>
      <c r="F224" s="80">
        <f>D224*E224</f>
        <v>0</v>
      </c>
    </row>
    <row r="225" spans="1:6" ht="12.95" customHeight="1">
      <c r="A225" s="73"/>
      <c r="B225" s="125"/>
      <c r="C225" s="62"/>
      <c r="D225" s="96"/>
      <c r="E225" s="126"/>
      <c r="F225" s="126"/>
    </row>
    <row r="226" spans="1:6" ht="85.15" customHeight="1">
      <c r="A226" s="73">
        <v>2</v>
      </c>
      <c r="B226" s="94" t="s">
        <v>191</v>
      </c>
      <c r="C226" s="62" t="s">
        <v>61</v>
      </c>
      <c r="D226" s="96">
        <v>10</v>
      </c>
      <c r="E226" s="80"/>
      <c r="F226" s="80">
        <f>D226*E226</f>
        <v>0</v>
      </c>
    </row>
    <row r="227" spans="1:6" s="4" customFormat="1" ht="15">
      <c r="A227" s="73"/>
      <c r="B227" s="91"/>
      <c r="C227" s="62"/>
      <c r="D227" s="60"/>
      <c r="E227" s="60"/>
      <c r="F227" s="60">
        <f>SUM(F223:F226)</f>
        <v>0</v>
      </c>
    </row>
    <row r="228" spans="1:6" s="4" customFormat="1" ht="16.149999999999999" customHeight="1">
      <c r="A228" s="85" t="s">
        <v>33</v>
      </c>
      <c r="B228" s="149" t="s">
        <v>192</v>
      </c>
      <c r="C228" s="149"/>
      <c r="D228" s="149"/>
      <c r="E228" s="149"/>
      <c r="F228" s="87">
        <f>SUM(F224:F227)</f>
        <v>0</v>
      </c>
    </row>
    <row r="229" spans="1:6" s="4" customFormat="1" ht="15.6" customHeight="1">
      <c r="A229" s="73"/>
      <c r="B229" s="91"/>
      <c r="C229" s="58"/>
      <c r="D229" s="59"/>
      <c r="E229" s="60"/>
      <c r="F229" s="60"/>
    </row>
    <row r="230" spans="1:6" s="4" customFormat="1" ht="16.149999999999999" customHeight="1">
      <c r="A230" s="85"/>
      <c r="B230"/>
      <c r="C230" s="86"/>
      <c r="D230" s="86"/>
      <c r="E230" s="86"/>
      <c r="F230" s="87"/>
    </row>
    <row r="231" spans="1:6" s="4" customFormat="1" ht="16.149999999999999" customHeight="1">
      <c r="A231" s="85" t="s">
        <v>35</v>
      </c>
      <c r="B231" s="149" t="s">
        <v>193</v>
      </c>
      <c r="C231" s="149"/>
      <c r="D231" s="149"/>
      <c r="E231" s="149"/>
      <c r="F231" s="87"/>
    </row>
    <row r="232" spans="1:6" s="4" customFormat="1" ht="16.149999999999999" customHeight="1">
      <c r="A232" s="89"/>
      <c r="B232" s="127"/>
      <c r="C232" s="62"/>
      <c r="D232" s="60"/>
      <c r="E232" s="60"/>
      <c r="F232" s="60">
        <f>D232*E232</f>
        <v>0</v>
      </c>
    </row>
    <row r="233" spans="1:6" s="4" customFormat="1" ht="318.75">
      <c r="A233" s="73">
        <v>1</v>
      </c>
      <c r="B233" s="128" t="s">
        <v>194</v>
      </c>
      <c r="C233" s="129" t="s">
        <v>187</v>
      </c>
      <c r="D233" s="55">
        <f>3.74+2.85+5.65+5.65</f>
        <v>17.89</v>
      </c>
      <c r="E233" s="97"/>
      <c r="F233" s="97">
        <f>D233*E233</f>
        <v>0</v>
      </c>
    </row>
    <row r="234" spans="1:6" s="4" customFormat="1" ht="15">
      <c r="A234" s="73"/>
      <c r="B234" s="128"/>
      <c r="C234" s="129"/>
      <c r="D234" s="55"/>
      <c r="E234" s="97"/>
      <c r="F234" s="97"/>
    </row>
    <row r="235" spans="1:6" s="4" customFormat="1" ht="267.75">
      <c r="A235" s="130">
        <v>2</v>
      </c>
      <c r="B235" s="131" t="s">
        <v>195</v>
      </c>
      <c r="C235" s="129" t="s">
        <v>187</v>
      </c>
      <c r="D235" s="55">
        <f>(1.7+1.6)*4.2</f>
        <v>13.860000000000001</v>
      </c>
      <c r="E235" s="97"/>
      <c r="F235" s="97">
        <f>D235*E235</f>
        <v>0</v>
      </c>
    </row>
    <row r="236" spans="1:6" s="4" customFormat="1" ht="16.149999999999999" customHeight="1">
      <c r="A236" s="73"/>
      <c r="B236" s="132"/>
      <c r="C236" s="62"/>
      <c r="D236" s="60"/>
      <c r="E236" s="60"/>
      <c r="F236" s="60">
        <f>SUM(F232:F233)</f>
        <v>0</v>
      </c>
    </row>
    <row r="237" spans="1:6" s="4" customFormat="1" ht="16.149999999999999" customHeight="1">
      <c r="A237" s="85" t="s">
        <v>35</v>
      </c>
      <c r="B237" s="149" t="s">
        <v>196</v>
      </c>
      <c r="C237" s="149"/>
      <c r="D237" s="149"/>
      <c r="E237" s="149"/>
      <c r="F237" s="87">
        <f>SUM(F233:F236)</f>
        <v>0</v>
      </c>
    </row>
    <row r="238" spans="1:6" s="4" customFormat="1" ht="12.95" customHeight="1">
      <c r="A238" s="85"/>
      <c r="B238" s="86"/>
      <c r="C238" s="86"/>
      <c r="D238" s="86"/>
      <c r="E238" s="86"/>
      <c r="F238" s="87"/>
    </row>
    <row r="239" spans="1:6" s="4" customFormat="1" ht="12.95" customHeight="1">
      <c r="A239" s="85"/>
      <c r="B239"/>
      <c r="C239" s="86"/>
      <c r="D239" s="86"/>
      <c r="E239" s="86"/>
      <c r="F239" s="87"/>
    </row>
    <row r="240" spans="1:6" s="4" customFormat="1" ht="12.95" customHeight="1">
      <c r="A240" s="85" t="s">
        <v>37</v>
      </c>
      <c r="B240" s="149" t="s">
        <v>197</v>
      </c>
      <c r="C240" s="149"/>
      <c r="D240" s="149"/>
      <c r="E240" s="149"/>
      <c r="F240" s="60"/>
    </row>
    <row r="241" spans="1:6" s="4" customFormat="1" ht="12.95" customHeight="1">
      <c r="A241" s="85"/>
      <c r="B241" s="86"/>
      <c r="C241" s="86"/>
      <c r="D241" s="86"/>
      <c r="E241" s="86"/>
      <c r="F241" s="60">
        <f t="shared" ref="F241:F246" si="2">D241*E241</f>
        <v>0</v>
      </c>
    </row>
    <row r="242" spans="1:6" s="4" customFormat="1" ht="77.849999999999994" customHeight="1">
      <c r="A242" s="104">
        <v>1</v>
      </c>
      <c r="B242" s="121" t="s">
        <v>198</v>
      </c>
      <c r="C242" s="62" t="s">
        <v>148</v>
      </c>
      <c r="D242" s="71">
        <v>4.95</v>
      </c>
      <c r="E242" s="133"/>
      <c r="F242" s="71">
        <f t="shared" si="2"/>
        <v>0</v>
      </c>
    </row>
    <row r="243" spans="1:6" s="4" customFormat="1" ht="12.95" customHeight="1">
      <c r="A243" s="85"/>
      <c r="B243" s="134"/>
      <c r="C243" s="134"/>
      <c r="D243" s="134"/>
      <c r="E243" s="134"/>
      <c r="F243" s="71">
        <f t="shared" si="2"/>
        <v>0</v>
      </c>
    </row>
    <row r="244" spans="1:6" s="4" customFormat="1" ht="77.849999999999994" customHeight="1">
      <c r="A244" s="104">
        <v>2</v>
      </c>
      <c r="B244" s="121" t="s">
        <v>199</v>
      </c>
      <c r="C244" s="62" t="s">
        <v>148</v>
      </c>
      <c r="D244" s="71">
        <v>5.77</v>
      </c>
      <c r="E244" s="133"/>
      <c r="F244" s="71">
        <f t="shared" si="2"/>
        <v>0</v>
      </c>
    </row>
    <row r="245" spans="1:6" s="4" customFormat="1" ht="12.95" customHeight="1">
      <c r="A245" s="104"/>
      <c r="B245" s="102"/>
      <c r="C245" s="75"/>
      <c r="D245" s="75"/>
      <c r="E245" s="75"/>
      <c r="F245" s="75">
        <f t="shared" si="2"/>
        <v>0</v>
      </c>
    </row>
    <row r="246" spans="1:6" s="4" customFormat="1" ht="67.5" customHeight="1">
      <c r="A246" s="104">
        <v>3</v>
      </c>
      <c r="B246" s="121" t="s">
        <v>200</v>
      </c>
      <c r="C246" s="62" t="s">
        <v>148</v>
      </c>
      <c r="D246" s="71">
        <f>3.97+4.47</f>
        <v>8.44</v>
      </c>
      <c r="E246" s="133"/>
      <c r="F246" s="71">
        <f t="shared" si="2"/>
        <v>0</v>
      </c>
    </row>
    <row r="247" spans="1:6" s="4" customFormat="1" ht="12.95" customHeight="1">
      <c r="A247" s="104"/>
      <c r="B247" s="121"/>
      <c r="C247" s="62"/>
      <c r="D247" s="71"/>
      <c r="E247" s="133"/>
      <c r="F247" s="71"/>
    </row>
    <row r="248" spans="1:6" s="4" customFormat="1" ht="63.75">
      <c r="A248" s="104">
        <v>4</v>
      </c>
      <c r="B248" s="121" t="s">
        <v>201</v>
      </c>
      <c r="C248" s="62" t="s">
        <v>202</v>
      </c>
      <c r="D248" s="71">
        <f>3.43+1.48+0.45</f>
        <v>5.36</v>
      </c>
      <c r="E248" s="133"/>
      <c r="F248" s="71"/>
    </row>
    <row r="249" spans="1:6" s="4" customFormat="1" ht="12.95" customHeight="1">
      <c r="A249" s="104"/>
      <c r="B249" s="102"/>
      <c r="C249" s="75"/>
      <c r="D249" s="75"/>
      <c r="E249" s="75"/>
      <c r="F249" s="75">
        <f t="shared" ref="F249:F256" si="3">D249*E249</f>
        <v>0</v>
      </c>
    </row>
    <row r="250" spans="1:6" s="4" customFormat="1" ht="53.65" customHeight="1">
      <c r="A250" s="104">
        <v>5</v>
      </c>
      <c r="B250" s="121" t="s">
        <v>203</v>
      </c>
      <c r="C250" s="62" t="s">
        <v>148</v>
      </c>
      <c r="D250" s="71">
        <f>0.1+1.14</f>
        <v>1.24</v>
      </c>
      <c r="E250" s="133"/>
      <c r="F250" s="71">
        <f t="shared" si="3"/>
        <v>0</v>
      </c>
    </row>
    <row r="251" spans="1:6" s="4" customFormat="1" ht="12.95" customHeight="1">
      <c r="A251" s="135"/>
      <c r="B251" s="123"/>
      <c r="C251" s="62"/>
      <c r="D251" s="71"/>
      <c r="E251" s="133"/>
      <c r="F251" s="136">
        <f t="shared" si="3"/>
        <v>0</v>
      </c>
    </row>
    <row r="252" spans="1:6" s="4" customFormat="1" ht="38.25">
      <c r="A252" s="104">
        <v>6</v>
      </c>
      <c r="B252" s="121" t="s">
        <v>204</v>
      </c>
      <c r="C252" s="99" t="s">
        <v>156</v>
      </c>
      <c r="D252" s="71">
        <v>2</v>
      </c>
      <c r="E252" s="133"/>
      <c r="F252" s="71">
        <f t="shared" si="3"/>
        <v>0</v>
      </c>
    </row>
    <row r="253" spans="1:6" s="4" customFormat="1" ht="12.95" customHeight="1">
      <c r="A253" s="137"/>
      <c r="B253" s="102"/>
      <c r="C253" s="62"/>
      <c r="D253" s="71"/>
      <c r="E253" s="133"/>
      <c r="F253" s="136">
        <f t="shared" si="3"/>
        <v>0</v>
      </c>
    </row>
    <row r="254" spans="1:6" s="4" customFormat="1" ht="44.85" customHeight="1">
      <c r="A254" s="104">
        <v>7</v>
      </c>
      <c r="B254" s="121" t="s">
        <v>205</v>
      </c>
      <c r="C254" s="99" t="s">
        <v>156</v>
      </c>
      <c r="D254" s="71">
        <v>2</v>
      </c>
      <c r="E254" s="133"/>
      <c r="F254" s="71">
        <f t="shared" si="3"/>
        <v>0</v>
      </c>
    </row>
    <row r="255" spans="1:6" s="4" customFormat="1" ht="12.95" customHeight="1">
      <c r="A255" s="137"/>
      <c r="B255" s="102"/>
      <c r="C255" s="99"/>
      <c r="D255" s="100"/>
      <c r="E255" s="133"/>
      <c r="F255" s="136">
        <f t="shared" si="3"/>
        <v>0</v>
      </c>
    </row>
    <row r="256" spans="1:6" s="4" customFormat="1" ht="104.45" customHeight="1">
      <c r="A256" s="104">
        <v>8</v>
      </c>
      <c r="B256" s="121" t="s">
        <v>206</v>
      </c>
      <c r="C256" s="99" t="s">
        <v>156</v>
      </c>
      <c r="D256" s="71">
        <v>2</v>
      </c>
      <c r="E256" s="133"/>
      <c r="F256" s="71">
        <f t="shared" si="3"/>
        <v>0</v>
      </c>
    </row>
    <row r="257" spans="1:6" s="4" customFormat="1" ht="12.95" customHeight="1">
      <c r="A257" s="137"/>
      <c r="B257" s="102"/>
      <c r="C257" s="99"/>
      <c r="D257" s="100"/>
      <c r="E257" s="133"/>
      <c r="F257" s="136"/>
    </row>
    <row r="258" spans="1:6" s="4" customFormat="1" ht="12.95" customHeight="1">
      <c r="A258" s="104">
        <v>9</v>
      </c>
      <c r="B258" s="138" t="s">
        <v>207</v>
      </c>
      <c r="C258" s="139"/>
      <c r="D258" s="140"/>
      <c r="E258" s="141"/>
      <c r="F258" s="136">
        <f>D258*E258</f>
        <v>0</v>
      </c>
    </row>
    <row r="259" spans="1:6" s="4" customFormat="1" ht="12.95" customHeight="1">
      <c r="A259" s="142"/>
      <c r="B259" s="123" t="s">
        <v>208</v>
      </c>
      <c r="C259" s="99" t="s">
        <v>156</v>
      </c>
      <c r="D259" s="71">
        <v>2</v>
      </c>
      <c r="E259" s="133"/>
      <c r="F259" s="71">
        <f>D259*E259</f>
        <v>0</v>
      </c>
    </row>
    <row r="260" spans="1:6" s="4" customFormat="1" ht="12.95" customHeight="1">
      <c r="A260" s="142"/>
      <c r="B260" s="123" t="s">
        <v>209</v>
      </c>
      <c r="C260" s="99" t="s">
        <v>156</v>
      </c>
      <c r="D260" s="71">
        <v>2</v>
      </c>
      <c r="E260" s="133"/>
      <c r="F260" s="71">
        <f>D260*E260</f>
        <v>0</v>
      </c>
    </row>
    <row r="261" spans="1:6" s="4" customFormat="1" ht="12.95" customHeight="1">
      <c r="A261" s="142"/>
      <c r="B261" s="123" t="s">
        <v>210</v>
      </c>
      <c r="C261" s="99" t="s">
        <v>156</v>
      </c>
      <c r="D261" s="71">
        <v>2</v>
      </c>
      <c r="E261" s="133"/>
      <c r="F261" s="71">
        <f>D261*E261</f>
        <v>0</v>
      </c>
    </row>
    <row r="262" spans="1:6" s="4" customFormat="1" ht="14.1" customHeight="1">
      <c r="A262" s="142"/>
      <c r="B262" s="138" t="s">
        <v>211</v>
      </c>
      <c r="C262" s="99" t="s">
        <v>156</v>
      </c>
      <c r="D262" s="71">
        <v>2</v>
      </c>
      <c r="E262" s="133"/>
      <c r="F262" s="71">
        <f>D262*E262</f>
        <v>0</v>
      </c>
    </row>
    <row r="263" spans="1:6" s="4" customFormat="1" ht="14.1" customHeight="1">
      <c r="A263" s="104"/>
      <c r="C263"/>
      <c r="D263"/>
      <c r="E263"/>
      <c r="F263" s="143">
        <f>SUM(F241:F262)</f>
        <v>0</v>
      </c>
    </row>
    <row r="264" spans="1:6" s="4" customFormat="1" ht="12.95" customHeight="1">
      <c r="A264" s="85" t="s">
        <v>37</v>
      </c>
      <c r="B264" s="149" t="s">
        <v>212</v>
      </c>
      <c r="C264" s="149"/>
      <c r="D264" s="149"/>
      <c r="E264" s="149"/>
      <c r="F264" s="87">
        <f>SUM(F242:F263)</f>
        <v>0</v>
      </c>
    </row>
    <row r="265" spans="1:6" s="4" customFormat="1" ht="13.7" customHeight="1">
      <c r="A265" s="85"/>
      <c r="B265" s="86"/>
      <c r="C265" s="86"/>
      <c r="D265" s="86"/>
      <c r="E265" s="86"/>
      <c r="F265" s="87"/>
    </row>
    <row r="266" spans="1:6" s="4" customFormat="1" ht="15.75">
      <c r="A266" s="73" t="s">
        <v>144</v>
      </c>
      <c r="B266" s="150" t="s">
        <v>216</v>
      </c>
      <c r="C266" s="150"/>
      <c r="D266" s="150"/>
      <c r="E266" s="150"/>
      <c r="F266" s="144">
        <f>0</f>
        <v>0</v>
      </c>
    </row>
    <row r="267" spans="1:6" s="4" customFormat="1" ht="15.6" customHeight="1">
      <c r="A267"/>
      <c r="B267"/>
      <c r="C267"/>
      <c r="D267"/>
      <c r="E267"/>
      <c r="F267"/>
    </row>
    <row r="268" spans="1:6" s="4" customFormat="1">
      <c r="A268" s="56"/>
      <c r="B268" s="90"/>
      <c r="C268" s="58"/>
      <c r="D268" s="59"/>
      <c r="E268" s="59"/>
      <c r="F268" s="60"/>
    </row>
    <row r="269" spans="1:6" s="4" customFormat="1" ht="15.6" customHeight="1">
      <c r="A269"/>
      <c r="B269"/>
      <c r="C269"/>
      <c r="D269"/>
      <c r="E269"/>
      <c r="F269"/>
    </row>
    <row r="270" spans="1:6" s="4" customFormat="1">
      <c r="A270"/>
      <c r="B270"/>
      <c r="C270"/>
      <c r="D270"/>
      <c r="E270"/>
      <c r="F270"/>
    </row>
    <row r="271" spans="1:6" s="4" customFormat="1">
      <c r="A271"/>
      <c r="B271"/>
      <c r="C271"/>
      <c r="D271"/>
      <c r="E271"/>
      <c r="F271"/>
    </row>
    <row r="272" spans="1:6" s="4" customFormat="1">
      <c r="A272"/>
      <c r="B272"/>
      <c r="C272"/>
      <c r="D272"/>
      <c r="E272"/>
      <c r="F272"/>
    </row>
    <row r="273" spans="1:6" s="4" customFormat="1">
      <c r="A273"/>
      <c r="B273"/>
      <c r="C273"/>
      <c r="D273"/>
      <c r="E273"/>
      <c r="F273"/>
    </row>
    <row r="274" spans="1:6" s="4" customFormat="1">
      <c r="A274"/>
      <c r="B274" s="145" t="s">
        <v>213</v>
      </c>
      <c r="C274"/>
      <c r="D274"/>
      <c r="E274"/>
      <c r="F274"/>
    </row>
    <row r="275" spans="1:6" s="4" customFormat="1">
      <c r="A275"/>
      <c r="B275"/>
      <c r="C275"/>
      <c r="D275"/>
      <c r="E275"/>
      <c r="F275"/>
    </row>
    <row r="276" spans="1:6" s="4" customFormat="1">
      <c r="A276"/>
      <c r="B276" t="s">
        <v>214</v>
      </c>
      <c r="C276"/>
      <c r="D276"/>
      <c r="E276"/>
      <c r="F276"/>
    </row>
    <row r="277" spans="1:6" s="4" customFormat="1">
      <c r="A277"/>
      <c r="B277" t="s">
        <v>215</v>
      </c>
      <c r="C277"/>
      <c r="D277"/>
      <c r="E277"/>
      <c r="F277"/>
    </row>
    <row r="278" spans="1:6" s="4" customFormat="1">
      <c r="A278"/>
      <c r="B278"/>
      <c r="C278"/>
      <c r="D278"/>
      <c r="E278"/>
      <c r="F278"/>
    </row>
    <row r="279" spans="1:6" s="4" customFormat="1">
      <c r="A279"/>
      <c r="B279" s="145" t="s">
        <v>47</v>
      </c>
      <c r="C279"/>
      <c r="D279"/>
      <c r="E279"/>
      <c r="F279"/>
    </row>
    <row r="280" spans="1:6" s="4" customFormat="1" ht="13.5" customHeight="1">
      <c r="A280"/>
      <c r="B280"/>
      <c r="C280"/>
      <c r="D280"/>
      <c r="E280"/>
      <c r="F280"/>
    </row>
    <row r="281" spans="1:6" s="4" customFormat="1">
      <c r="A281"/>
      <c r="B281"/>
      <c r="C281"/>
      <c r="D281"/>
      <c r="E281"/>
      <c r="F281"/>
    </row>
    <row r="282" spans="1:6" s="4" customFormat="1">
      <c r="A282"/>
      <c r="B282"/>
      <c r="C282"/>
      <c r="D282"/>
      <c r="E282"/>
      <c r="F282"/>
    </row>
    <row r="283" spans="1:6" s="4" customFormat="1">
      <c r="A283"/>
      <c r="B283"/>
      <c r="C283"/>
      <c r="D283"/>
      <c r="E283"/>
      <c r="F283"/>
    </row>
    <row r="284" spans="1:6" ht="15.6" customHeight="1"/>
    <row r="285" spans="1:6" ht="15.6" customHeight="1"/>
    <row r="286" spans="1:6" ht="15.6" customHeight="1"/>
    <row r="287" spans="1:6" ht="15.6" customHeight="1"/>
    <row r="288" spans="1:6"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sheetData>
  <sheetProtection selectLockedCells="1" selectUnlockedCells="1"/>
  <autoFilter ref="A1:IV2"/>
  <mergeCells count="31">
    <mergeCell ref="B240:E240"/>
    <mergeCell ref="B264:E264"/>
    <mergeCell ref="B266:E266"/>
    <mergeCell ref="B222:E222"/>
    <mergeCell ref="B228:E228"/>
    <mergeCell ref="B231:E231"/>
    <mergeCell ref="B237:E237"/>
    <mergeCell ref="B165:E165"/>
    <mergeCell ref="B168:E168"/>
    <mergeCell ref="B184:E184"/>
    <mergeCell ref="B194:E194"/>
    <mergeCell ref="B197:E197"/>
    <mergeCell ref="B219:E219"/>
    <mergeCell ref="B113:E113"/>
    <mergeCell ref="B135:E135"/>
    <mergeCell ref="B138:E138"/>
    <mergeCell ref="B146:E146"/>
    <mergeCell ref="B149:E149"/>
    <mergeCell ref="B153:E153"/>
    <mergeCell ref="B65:E65"/>
    <mergeCell ref="B85:E85"/>
    <mergeCell ref="B88:E88"/>
    <mergeCell ref="B94:E94"/>
    <mergeCell ref="B97:E97"/>
    <mergeCell ref="B110:E110"/>
    <mergeCell ref="B2:E2"/>
    <mergeCell ref="B4:E4"/>
    <mergeCell ref="A5:E5"/>
    <mergeCell ref="B31:E31"/>
    <mergeCell ref="B34:E34"/>
    <mergeCell ref="B62:E62"/>
  </mergeCells>
  <phoneticPr fontId="0" type="noConversion"/>
  <pageMargins left="0.59027777777777779" right="0.55138888888888893" top="0.47152777777777777" bottom="0.51180555555555551" header="0.51180555555555551" footer="0.51180555555555551"/>
  <pageSetup scale="74" firstPageNumber="0" orientation="portrait" horizontalDpi="300" verticalDpi="300" r:id="rId1"/>
  <headerFooter alignWithMargins="0"/>
  <rowBreaks count="15" manualBreakCount="15">
    <brk id="24" max="16383" man="1"/>
    <brk id="32" max="16383" man="1"/>
    <brk id="63" max="16383" man="1"/>
    <brk id="86" max="16383" man="1"/>
    <brk id="95" max="16383" man="1"/>
    <brk id="111" max="16383" man="1"/>
    <brk id="136" max="16383" man="1"/>
    <brk id="151" max="16383" man="1"/>
    <brk id="166" max="16383" man="1"/>
    <brk id="185" max="16383" man="1"/>
    <brk id="195" max="16383" man="1"/>
    <brk id="220" max="16383" man="1"/>
    <brk id="229" max="16383" man="1"/>
    <brk id="238" max="16383" man="1"/>
    <brk id="269" max="16383" man="1"/>
  </rowBreaks>
  <legacyDrawing r:id="rId2"/>
</worksheet>
</file>

<file path=docProps/app.xml><?xml version="1.0" encoding="utf-8"?>
<Properties xmlns="http://schemas.openxmlformats.org/officeDocument/2006/extended-properties" xmlns:vt="http://schemas.openxmlformats.org/officeDocument/2006/docPropsVTypes">
  <TotalTime>37346</TotalTime>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NASLOVNICA I REKAPITULACIJA</vt:lpstr>
      <vt:lpstr>TROSKOVNIK</vt:lpstr>
      <vt:lpstr>Excel_BuiltIn_Print_Area_2 1</vt:lpstr>
      <vt:lpstr>Excel_BuiltIn_Print_Area_2_1</vt:lpstr>
      <vt:lpstr>Excel_BuiltIn_Print_Area_2_1_1</vt:lpstr>
      <vt:lpstr>Excel_BuiltIn_Print_Area_2_1_1_1</vt:lpstr>
      <vt:lpstr>TROSKOVNIK!Print_Area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Domino</dc:creator>
  <cp:lastModifiedBy>Domino</cp:lastModifiedBy>
  <cp:revision>63</cp:revision>
  <cp:lastPrinted>2017-11-03T09:21:34Z</cp:lastPrinted>
  <dcterms:created xsi:type="dcterms:W3CDTF">1601-01-01T22:00:00Z</dcterms:created>
  <dcterms:modified xsi:type="dcterms:W3CDTF">2017-11-03T22:10:08Z</dcterms:modified>
</cp:coreProperties>
</file>